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7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ntractSection/Shared Documents/General/Εγγυήσεις/"/>
    </mc:Choice>
  </mc:AlternateContent>
  <xr:revisionPtr revIDLastSave="891" documentId="13_ncr:1_{2132B949-49CD-490A-92BC-4EE89DDF43E3}" xr6:coauthVersionLast="47" xr6:coauthVersionMax="47" xr10:uidLastSave="{4CF775CA-4B76-485F-8D7A-750611D22712}"/>
  <bookViews>
    <workbookView xWindow="-28920" yWindow="-105" windowWidth="29040" windowHeight="15720" xr2:uid="{00000000-000D-0000-FFFF-FFFF00000000}"/>
  </bookViews>
  <sheets>
    <sheet name="Capacity Products" sheetId="1" r:id="rId1"/>
    <sheet name="IPs" sheetId="4" state="hidden" r:id="rId2"/>
    <sheet name="Type of Product" sheetId="3" state="hidden" r:id="rId3"/>
    <sheet name="B-SDM_ENTRY" sheetId="2" state="hidden" r:id="rId4"/>
    <sheet name="B-SDM_EXIT" sheetId="5" state="hidden" r:id="rId5"/>
    <sheet name=" Days" sheetId="6" state="hidden" r:id="rId6"/>
  </sheets>
  <definedNames>
    <definedName name="ENTRY__TAP→DESFA">IPs!$H$5:$H$6</definedName>
    <definedName name="Route_IPs">IPs!$G$5:$G$6</definedName>
    <definedName name="ΕΧΙΤ__DESFA→TAP">IPs!$I$5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H15" i="4"/>
  <c r="H4" i="1" l="1"/>
  <c r="G4" i="1"/>
  <c r="F4" i="1"/>
  <c r="F8" i="1"/>
  <c r="M8" i="1" s="1"/>
  <c r="M9" i="1"/>
  <c r="H9" i="1"/>
  <c r="L9" i="1" s="1"/>
  <c r="K6" i="1"/>
  <c r="H6" i="1"/>
  <c r="G6" i="1"/>
  <c r="F6" i="1"/>
  <c r="M6" i="1" s="1"/>
  <c r="O9" i="1" l="1"/>
  <c r="L6" i="1"/>
  <c r="O6" i="1" s="1"/>
  <c r="D28" i="5"/>
  <c r="D33" i="2" l="1"/>
  <c r="D32" i="2"/>
  <c r="G8" i="1"/>
  <c r="D28" i="2"/>
  <c r="H11" i="1" l="1"/>
  <c r="F5" i="1"/>
  <c r="F3" i="1"/>
  <c r="H8" i="1"/>
  <c r="H3" i="1"/>
  <c r="M11" i="1"/>
  <c r="K8" i="1"/>
  <c r="K5" i="1"/>
  <c r="K4" i="1"/>
  <c r="L8" i="1" l="1"/>
  <c r="K3" i="1"/>
  <c r="G3" i="1"/>
  <c r="D13" i="5"/>
  <c r="D13" i="2"/>
  <c r="O8" i="1" l="1"/>
  <c r="M12" i="1" l="1"/>
  <c r="H5" i="1" l="1"/>
  <c r="G5" i="1"/>
  <c r="M5" i="1"/>
  <c r="M4" i="1"/>
  <c r="M3" i="1" l="1"/>
  <c r="J3" i="1"/>
  <c r="L3" i="1" s="1"/>
  <c r="F2" i="5"/>
  <c r="J5" i="1" l="1"/>
  <c r="L5" i="1" l="1"/>
  <c r="O5" i="1" s="1"/>
  <c r="L4" i="1"/>
  <c r="O4" i="1" s="1"/>
  <c r="O3" i="1" l="1"/>
  <c r="H12" i="1" l="1"/>
  <c r="L11" i="1" l="1"/>
  <c r="O11" i="1" s="1"/>
  <c r="L12" i="1"/>
  <c r="O12" i="1" s="1"/>
  <c r="P11" i="1" l="1"/>
  <c r="F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tc={D21A2B13-9AC0-4527-9240-5F2E62148635}</author>
  </authors>
  <commentList>
    <comment ref="C34" authorId="0" shapeId="0" xr:uid="{D21A2B13-9AC0-4527-9240-5F2E62148635}">
      <text>
        <t>[Threaded comment]
Your version of Excel allows you to read this threaded comment; however, any edits to it will get removed if the file is opened in a newer version of Excel. Learn more: https://go.microsoft.com/fwlink/?linkid=870924
Comment:
    Μέχρι ενάρξεως λειτουργίας του σημείου Αμφιτρίτη (Β) τριμηνιαίο</t>
      </text>
    </comment>
  </commentList>
</comments>
</file>

<file path=xl/sharedStrings.xml><?xml version="1.0" encoding="utf-8"?>
<sst xmlns="http://schemas.openxmlformats.org/spreadsheetml/2006/main" count="181" uniqueCount="78">
  <si>
    <t>Year 2024</t>
  </si>
  <si>
    <t>NNGTS Entry/Exit Points</t>
  </si>
  <si>
    <t>Direction</t>
  </si>
  <si>
    <t>Type of Product</t>
  </si>
  <si>
    <t>Transmission 
Capacity 
[kWh/Day]</t>
  </si>
  <si>
    <t>Capacity Product</t>
  </si>
  <si>
    <t>Booking Period (Days)</t>
  </si>
  <si>
    <t>Capacity Coefficient 
[€/kWh GCV /Hour/Year]</t>
  </si>
  <si>
    <t xml:space="preserve">Short-Term 
Coefficient
(B) </t>
  </si>
  <si>
    <t>Quantity 
Coefficient 
[€/kWh]</t>
  </si>
  <si>
    <t>Discount</t>
  </si>
  <si>
    <t>annual days</t>
  </si>
  <si>
    <t>Capacity 
Charges</t>
  </si>
  <si>
    <t>Guarantee Percentage</t>
  </si>
  <si>
    <t>Guarantee Amount</t>
  </si>
  <si>
    <t>EXIT (GR→BG)</t>
  </si>
  <si>
    <t>Interruptible</t>
  </si>
  <si>
    <t>D (Daily Product 2024)</t>
  </si>
  <si>
    <t>–</t>
  </si>
  <si>
    <t>ΕΧΙΤ (DESFA→TAP)</t>
  </si>
  <si>
    <t>ENTRY (TR→GR)</t>
  </si>
  <si>
    <t>bFZK</t>
  </si>
  <si>
    <t>ENTRY 
(GASTRADE→DESFA)</t>
  </si>
  <si>
    <t>Capacity Coefficient
[€/kWh GCV /Hour/Year]</t>
  </si>
  <si>
    <t>Discount
(%)</t>
  </si>
  <si>
    <t>BZK</t>
  </si>
  <si>
    <t>EXIT (DESFA→IGB)</t>
  </si>
  <si>
    <t>Revithoussa LNG Terminal</t>
  </si>
  <si>
    <t>Transmission / Regasification
Capacity 
[kWh/Day]</t>
  </si>
  <si>
    <t>Booking Period 
(Days)</t>
  </si>
  <si>
    <t>AGIA TRIADA (ENTRY TO TRANSMISSION)</t>
  </si>
  <si>
    <t>ENTRY</t>
  </si>
  <si>
    <t>Firm (Bundled)</t>
  </si>
  <si>
    <t>REVITHOUSSA TERMINAL (REGASIFICATION)</t>
  </si>
  <si>
    <t>-</t>
  </si>
  <si>
    <t>DOMESTIC EXIT POINTS</t>
  </si>
  <si>
    <t>EXIT</t>
  </si>
  <si>
    <t>Firm</t>
  </si>
  <si>
    <t>Select from the drop-down list or fill numbers in blue cells</t>
  </si>
  <si>
    <t>(1) Concerns the period from 01.10.2023 to 30.09.2024</t>
  </si>
  <si>
    <t>(2) The calculated total charge (cell P6 &amp; P8) applies to the whole product. The charges though will be imposed either from the product's start date or from the day of the COD of the Point, whichever comes later.</t>
  </si>
  <si>
    <t>Route IPs</t>
  </si>
  <si>
    <t>ENTRY (BG→GR)</t>
  </si>
  <si>
    <t>EXIT (GR→TR)</t>
  </si>
  <si>
    <t>ENTRY (TAP→DESFA)</t>
  </si>
  <si>
    <t>ENTRY (GASTRADE→DESFA)</t>
  </si>
  <si>
    <t>ΕΧΙΤ (DESFA→IGB)</t>
  </si>
  <si>
    <t xml:space="preserve">Product - ENTRY SIDIROKASTRO &amp; NEA MESIMBRIA </t>
  </si>
  <si>
    <t>DAYS</t>
  </si>
  <si>
    <t>B Coefficient</t>
  </si>
  <si>
    <t>SDM</t>
  </si>
  <si>
    <t>D (Daily Product 2023)</t>
  </si>
  <si>
    <t>M (Monthly product for 31 Days - October, December 2023)</t>
  </si>
  <si>
    <t>M (Monthly product for 30 Days - November 2023)</t>
  </si>
  <si>
    <t>M (Monthly product for 31 Days - January, March, May, July, August, October, December 2024)</t>
  </si>
  <si>
    <t>M (Monthly product for 30 Days - April, June, September, November 2024)</t>
  </si>
  <si>
    <t>M (Monthly Product February 2024: 29 Days)</t>
  </si>
  <si>
    <t>Q1 for GY23/24 (Quarterly product for Oct,Nov,Dec 2023)</t>
  </si>
  <si>
    <t>Q2 for GY23/24 (Quarterly product for Jan, Feb, Mar 2024)</t>
  </si>
  <si>
    <t>Q3 for GY23/24 (Quarterly product for Apr, May, Jun 2024)</t>
  </si>
  <si>
    <t>Q4 for GY23/24 (Quarterly product for Jul, Aug, Sep 2024)</t>
  </si>
  <si>
    <t>Y (Yearly Product 1/10/2023-30/09/2024)</t>
  </si>
  <si>
    <t>Product - ENTRY AMFITRITI</t>
  </si>
  <si>
    <t>Product - KIPI 2023</t>
  </si>
  <si>
    <t xml:space="preserve">Product - EXIT IPS </t>
  </si>
  <si>
    <t xml:space="preserve">Product EXIT KOMOTINI </t>
  </si>
  <si>
    <t xml:space="preserve">Product </t>
  </si>
  <si>
    <t>Annual DAYS</t>
  </si>
  <si>
    <r>
      <t xml:space="preserve">SIDIROKASTRON IP </t>
    </r>
    <r>
      <rPr>
        <b/>
        <vertAlign val="superscript"/>
        <sz val="14"/>
        <color rgb="FF000000"/>
        <rFont val="Calibri"/>
        <family val="2"/>
      </rPr>
      <t>(1)</t>
    </r>
  </si>
  <si>
    <r>
      <t xml:space="preserve">NEA MESIMVRIA IP  </t>
    </r>
    <r>
      <rPr>
        <b/>
        <vertAlign val="superscript"/>
        <sz val="14"/>
        <color rgb="FF000000"/>
        <rFont val="Calibri"/>
        <family val="2"/>
      </rPr>
      <t>(1)</t>
    </r>
  </si>
  <si>
    <r>
      <t xml:space="preserve">KIPI IP </t>
    </r>
    <r>
      <rPr>
        <b/>
        <vertAlign val="superscript"/>
        <sz val="14"/>
        <color rgb="FF000000"/>
        <rFont val="Calibri"/>
        <family val="2"/>
      </rPr>
      <t>(1)</t>
    </r>
  </si>
  <si>
    <r>
      <t xml:space="preserve">KOMOTINI (DESFA/IGB) IP </t>
    </r>
    <r>
      <rPr>
        <b/>
        <vertAlign val="superscript"/>
        <sz val="14"/>
        <color rgb="FF000000"/>
        <rFont val="Calibri"/>
        <family val="2"/>
      </rPr>
      <t>(1), (2)</t>
    </r>
  </si>
  <si>
    <t>(3) When the booking period exceeds the annual duration, the guarantee amount is equal to the respective percentage of the annual capacity charge</t>
  </si>
  <si>
    <t>Capacity 
Charges (3)</t>
  </si>
  <si>
    <t>(3)</t>
  </si>
  <si>
    <r>
      <t xml:space="preserve">AMFITRITI ENTRY </t>
    </r>
    <r>
      <rPr>
        <b/>
        <vertAlign val="superscript"/>
        <sz val="14"/>
        <color rgb="FF000000"/>
        <rFont val="Calibri"/>
        <family val="2"/>
      </rPr>
      <t>(1)</t>
    </r>
    <r>
      <rPr>
        <b/>
        <sz val="14"/>
        <color rgb="FF000000"/>
        <rFont val="Calibri"/>
        <family val="2"/>
      </rPr>
      <t xml:space="preserve">, </t>
    </r>
    <r>
      <rPr>
        <b/>
        <vertAlign val="superscript"/>
        <sz val="14"/>
        <color rgb="FF000000"/>
        <rFont val="Calibri"/>
        <family val="2"/>
      </rPr>
      <t>(2)</t>
    </r>
  </si>
  <si>
    <t>ENTRY__TAP→DESFA</t>
  </si>
  <si>
    <t>ΕΧΙΤ__DESFA→TAP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</si>
</sst>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_ ;\-#,##0\ "/>
    <numFmt numFmtId="165" formatCode="#,##0.0000000_ ;\-#,##0.0000000\ "/>
    <numFmt numFmtId="166" formatCode="0.0000000"/>
  </numFmts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8"/>
      <color theme="9" tint="-0.499984740745262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28"/>
      <color theme="0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16"/>
      <name val="Calibri"/>
      <family val="2"/>
      <charset val="161"/>
    </font>
    <font>
      <i/>
      <sz val="14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4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mediumGray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0" fillId="0" borderId="0" xfId="0" applyNumberFormat="1"/>
    <xf numFmtId="166" fontId="0" fillId="0" borderId="0" xfId="0" applyNumberFormat="1"/>
    <xf numFmtId="0" fontId="0" fillId="3" borderId="0" xfId="0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4" fontId="5" fillId="0" borderId="1" xfId="0" applyNumberFormat="1" applyFont="1" applyBorder="1" applyAlignment="1" applyProtection="1">
      <alignment horizontal="center" vertical="center"/>
      <protection hidden="1"/>
    </xf>
    <xf numFmtId="44" fontId="5" fillId="0" borderId="3" xfId="0" applyNumberFormat="1" applyFont="1" applyBorder="1" applyAlignment="1" applyProtection="1">
      <alignment horizontal="center" vertical="center"/>
      <protection hidden="1"/>
    </xf>
    <xf numFmtId="44" fontId="0" fillId="0" borderId="0" xfId="0" applyNumberFormat="1"/>
    <xf numFmtId="16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9" fontId="5" fillId="0" borderId="3" xfId="0" applyNumberFormat="1" applyFont="1" applyBorder="1" applyAlignment="1" applyProtection="1">
      <alignment horizontal="center" vertical="center" wrapText="1"/>
      <protection hidden="1"/>
    </xf>
    <xf numFmtId="164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9" fontId="5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9" fontId="5" fillId="0" borderId="4" xfId="0" applyNumberFormat="1" applyFont="1" applyBorder="1" applyAlignment="1" applyProtection="1">
      <alignment horizontal="center" vertical="center" wrapText="1"/>
      <protection hidden="1"/>
    </xf>
    <xf numFmtId="44" fontId="5" fillId="0" borderId="4" xfId="0" applyNumberFormat="1" applyFont="1" applyBorder="1" applyAlignment="1" applyProtection="1">
      <alignment vertical="center"/>
      <protection hidden="1"/>
    </xf>
    <xf numFmtId="44" fontId="5" fillId="0" borderId="1" xfId="0" applyNumberFormat="1" applyFont="1" applyBorder="1" applyAlignment="1" applyProtection="1">
      <alignment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165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9" fillId="0" borderId="0" xfId="0" applyFont="1"/>
    <xf numFmtId="0" fontId="7" fillId="5" borderId="6" xfId="0" applyFont="1" applyFill="1" applyBorder="1" applyAlignment="1" applyProtection="1">
      <alignment horizontal="center" vertical="center"/>
      <protection hidden="1"/>
    </xf>
    <xf numFmtId="0" fontId="7" fillId="5" borderId="4" xfId="0" applyFont="1" applyFill="1" applyBorder="1" applyAlignment="1" applyProtection="1">
      <alignment horizontal="center" vertical="center"/>
      <protection hidden="1"/>
    </xf>
    <xf numFmtId="0" fontId="7" fillId="5" borderId="4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center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44" fontId="5" fillId="0" borderId="4" xfId="0" applyNumberFormat="1" applyFont="1" applyBorder="1" applyAlignment="1" applyProtection="1">
      <alignment horizontal="center" vertical="center"/>
      <protection hidden="1"/>
    </xf>
    <xf numFmtId="3" fontId="5" fillId="8" borderId="1" xfId="0" applyNumberFormat="1" applyFont="1" applyFill="1" applyBorder="1" applyAlignment="1" applyProtection="1">
      <alignment horizontal="center" vertical="center"/>
      <protection locked="0"/>
    </xf>
    <xf numFmtId="3" fontId="5" fillId="8" borderId="4" xfId="0" applyNumberFormat="1" applyFont="1" applyFill="1" applyBorder="1" applyAlignment="1" applyProtection="1">
      <alignment horizontal="center" vertical="center"/>
      <protection locked="0"/>
    </xf>
    <xf numFmtId="3" fontId="5" fillId="8" borderId="3" xfId="0" applyNumberFormat="1" applyFont="1" applyFill="1" applyBorder="1" applyAlignment="1" applyProtection="1">
      <alignment horizontal="center" vertical="center"/>
      <protection locked="0"/>
    </xf>
    <xf numFmtId="3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0" applyFont="1" applyFill="1"/>
    <xf numFmtId="0" fontId="0" fillId="9" borderId="0" xfId="0" applyFill="1"/>
    <xf numFmtId="0" fontId="0" fillId="10" borderId="0" xfId="0" applyFill="1"/>
    <xf numFmtId="166" fontId="0" fillId="10" borderId="0" xfId="0" applyNumberFormat="1" applyFill="1"/>
    <xf numFmtId="1" fontId="10" fillId="0" borderId="3" xfId="0" applyNumberFormat="1" applyFont="1" applyBorder="1" applyAlignment="1" applyProtection="1">
      <alignment horizontal="center" vertical="center" wrapText="1"/>
      <protection hidden="1"/>
    </xf>
    <xf numFmtId="1" fontId="10" fillId="0" borderId="1" xfId="0" applyNumberFormat="1" applyFont="1" applyBorder="1" applyAlignment="1" applyProtection="1">
      <alignment horizontal="center" vertical="center" wrapText="1"/>
      <protection hidden="1"/>
    </xf>
    <xf numFmtId="1" fontId="10" fillId="0" borderId="4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3" fontId="5" fillId="8" borderId="14" xfId="0" applyNumberFormat="1" applyFont="1" applyFill="1" applyBorder="1" applyAlignment="1" applyProtection="1">
      <alignment horizontal="center" vertical="center"/>
      <protection locked="0"/>
    </xf>
    <xf numFmtId="0" fontId="3" fillId="11" borderId="4" xfId="0" applyFont="1" applyFill="1" applyBorder="1"/>
    <xf numFmtId="0" fontId="11" fillId="0" borderId="13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3" fontId="5" fillId="6" borderId="13" xfId="0" applyNumberFormat="1" applyFont="1" applyFill="1" applyBorder="1" applyAlignment="1" applyProtection="1">
      <alignment horizontal="center" vertical="center" wrapText="1"/>
      <protection locked="0"/>
    </xf>
    <xf numFmtId="3" fontId="5" fillId="8" borderId="13" xfId="0" applyNumberFormat="1" applyFont="1" applyFill="1" applyBorder="1" applyAlignment="1" applyProtection="1">
      <alignment vertical="center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hidden="1"/>
    </xf>
    <xf numFmtId="165" fontId="5" fillId="0" borderId="13" xfId="0" applyNumberFormat="1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9" fontId="5" fillId="0" borderId="13" xfId="0" applyNumberFormat="1" applyFont="1" applyBorder="1" applyAlignment="1" applyProtection="1">
      <alignment horizontal="center" vertical="center" wrapText="1"/>
      <protection hidden="1"/>
    </xf>
    <xf numFmtId="1" fontId="10" fillId="0" borderId="13" xfId="0" applyNumberFormat="1" applyFont="1" applyBorder="1" applyAlignment="1" applyProtection="1">
      <alignment horizontal="center" vertical="center" wrapText="1"/>
      <protection hidden="1"/>
    </xf>
    <xf numFmtId="44" fontId="5" fillId="0" borderId="13" xfId="0" applyNumberFormat="1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3" fontId="5" fillId="8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4" xfId="0" applyNumberFormat="1" applyFont="1" applyBorder="1" applyAlignment="1" applyProtection="1">
      <alignment horizontal="center" vertical="center"/>
      <protection hidden="1"/>
    </xf>
    <xf numFmtId="165" fontId="5" fillId="0" borderId="14" xfId="0" applyNumberFormat="1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9" fontId="5" fillId="0" borderId="14" xfId="0" applyNumberFormat="1" applyFont="1" applyBorder="1" applyAlignment="1" applyProtection="1">
      <alignment horizontal="center" vertical="center" wrapText="1"/>
      <protection hidden="1"/>
    </xf>
    <xf numFmtId="1" fontId="10" fillId="0" borderId="14" xfId="0" applyNumberFormat="1" applyFont="1" applyBorder="1" applyAlignment="1" applyProtection="1">
      <alignment horizontal="center" vertical="center" wrapText="1"/>
      <protection hidden="1"/>
    </xf>
    <xf numFmtId="44" fontId="5" fillId="0" borderId="14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>
      <alignment vertical="center"/>
    </xf>
    <xf numFmtId="0" fontId="6" fillId="4" borderId="0" xfId="0" applyFont="1" applyFill="1" applyAlignment="1" applyProtection="1">
      <alignment horizontal="center" vertical="center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44" fontId="5" fillId="0" borderId="4" xfId="0" applyNumberFormat="1" applyFont="1" applyBorder="1" applyAlignment="1" applyProtection="1">
      <alignment horizontal="center" vertical="center"/>
      <protection hidden="1"/>
    </xf>
    <xf numFmtId="44" fontId="5" fillId="0" borderId="3" xfId="0" applyNumberFormat="1" applyFont="1" applyBorder="1" applyAlignment="1" applyProtection="1">
      <alignment horizontal="center" vertical="center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9" fontId="5" fillId="0" borderId="3" xfId="0" applyNumberFormat="1" applyFont="1" applyBorder="1" applyAlignment="1" applyProtection="1">
      <alignment horizontal="center" vertical="center"/>
      <protection hidden="1"/>
    </xf>
    <xf numFmtId="9" fontId="5" fillId="0" borderId="1" xfId="0" applyNumberFormat="1" applyFont="1" applyBorder="1" applyAlignment="1" applyProtection="1">
      <alignment horizontal="center" vertical="center"/>
      <protection hidden="1"/>
    </xf>
    <xf numFmtId="44" fontId="5" fillId="0" borderId="1" xfId="0" applyNumberFormat="1" applyFont="1" applyBorder="1" applyAlignment="1" applyProtection="1">
      <alignment horizontal="center" vertical="center"/>
      <protection hidden="1"/>
    </xf>
    <xf numFmtId="9" fontId="5" fillId="0" borderId="13" xfId="0" applyNumberFormat="1" applyFont="1" applyBorder="1" applyAlignment="1" applyProtection="1">
      <alignment horizontal="center" vertical="center"/>
      <protection hidden="1"/>
    </xf>
    <xf numFmtId="10" fontId="5" fillId="0" borderId="4" xfId="0" applyNumberFormat="1" applyFont="1" applyBorder="1" applyAlignment="1" applyProtection="1">
      <alignment horizontal="center" vertical="center"/>
      <protection hidden="1"/>
    </xf>
    <xf numFmtId="9" fontId="5" fillId="0" borderId="14" xfId="0" applyNumberFormat="1" applyFont="1" applyBorder="1" applyAlignment="1" applyProtection="1">
      <alignment horizontal="center" vertical="center"/>
      <protection hidden="1"/>
    </xf>
    <xf numFmtId="44" fontId="5" fillId="9" borderId="14" xfId="0" applyNumberFormat="1" applyFont="1" applyFill="1" applyBorder="1" applyAlignment="1" applyProtection="1">
      <alignment horizontal="center" vertical="center"/>
      <protection hidden="1"/>
    </xf>
    <xf numFmtId="44" fontId="5" fillId="9" borderId="13" xfId="0" applyNumberFormat="1" applyFont="1" applyFill="1" applyBorder="1" applyAlignment="1" applyProtection="1">
      <alignment horizontal="center" vertical="center"/>
      <protection hidden="1"/>
    </xf>
    <xf numFmtId="0" fontId="11" fillId="12" borderId="15" xfId="0" applyFont="1" applyFill="1" applyBorder="1" applyAlignment="1" applyProtection="1">
      <alignment horizontal="center" vertical="center" wrapText="1"/>
      <protection hidden="1"/>
    </xf>
    <xf numFmtId="0" fontId="11" fillId="12" borderId="16" xfId="0" applyFont="1" applyFill="1" applyBorder="1" applyAlignment="1" applyProtection="1">
      <alignment horizontal="center" vertical="center" wrapText="1"/>
      <protection hidden="1"/>
    </xf>
    <xf numFmtId="0" fontId="11" fillId="12" borderId="17" xfId="0" applyFont="1" applyFill="1" applyBorder="1" applyAlignment="1" applyProtection="1">
      <alignment horizontal="center" vertical="center" wrapText="1"/>
      <protection hidden="1"/>
    </xf>
    <xf numFmtId="0" fontId="4" fillId="7" borderId="0" xfId="0" applyFont="1" applyFill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11" xfId="0" applyFont="1" applyFill="1" applyBorder="1" applyAlignment="1" applyProtection="1">
      <alignment horizontal="center" vertical="center" wrapText="1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10" fontId="5" fillId="0" borderId="1" xfId="0" applyNumberFormat="1" applyFont="1" applyBorder="1" applyAlignment="1" applyProtection="1">
      <alignment horizontal="center" vertical="center"/>
      <protection hidden="1"/>
    </xf>
    <xf numFmtId="9" fontId="5" fillId="0" borderId="4" xfId="0" applyNumberFormat="1" applyFont="1" applyBorder="1" applyAlignment="1" applyProtection="1">
      <alignment horizontal="center" vertical="center"/>
      <protection hidden="1"/>
    </xf>
    <xf numFmtId="164" fontId="5" fillId="8" borderId="9" xfId="0" applyNumberFormat="1" applyFont="1" applyFill="1" applyBorder="1" applyAlignment="1" applyProtection="1">
      <alignment horizontal="center" vertical="center"/>
      <protection locked="0"/>
    </xf>
    <xf numFmtId="164" fontId="5" fillId="8" borderId="10" xfId="0" applyNumberFormat="1" applyFont="1" applyFill="1" applyBorder="1" applyAlignment="1" applyProtection="1">
      <alignment horizontal="center" vertical="center"/>
      <protection locked="0"/>
    </xf>
    <xf numFmtId="164" fontId="5" fillId="8" borderId="7" xfId="0" applyNumberFormat="1" applyFont="1" applyFill="1" applyBorder="1" applyAlignment="1" applyProtection="1">
      <alignment horizontal="center" vertical="center"/>
      <protection locked="0"/>
    </xf>
    <xf numFmtId="164" fontId="5" fillId="8" borderId="8" xfId="0" applyNumberFormat="1" applyFont="1" applyFill="1" applyBorder="1" applyAlignment="1" applyProtection="1">
      <alignment horizontal="center" vertical="center"/>
      <protection locked="0"/>
    </xf>
    <xf numFmtId="3" fontId="5" fillId="8" borderId="1" xfId="0" applyNumberFormat="1" applyFont="1" applyFill="1" applyBorder="1" applyAlignment="1" applyProtection="1">
      <alignment horizontal="center" vertical="center"/>
      <protection locked="0"/>
    </xf>
    <xf numFmtId="3" fontId="5" fillId="8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164" fontId="5" fillId="8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9951"/>
      <color rgb="FF21A340"/>
      <color rgb="FF1C882E"/>
      <color rgb="FFD5E462"/>
      <color rgb="FFEDF5B1"/>
      <color rgb="FFDCE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igorios Chalastanis" id="{457B714E-4AC4-464D-A17E-A7E7E94B8B4B}" userId="S::g.chalastanis@DESFA.GR::43c91b78-10ac-44a3-b55c-aa04d9781ff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4" dT="2023-08-02T10:12:27.64" personId="{457B714E-4AC4-464D-A17E-A7E7E94B8B4B}" id="{D21A2B13-9AC0-4527-9240-5F2E62148635}">
    <text>Μέχρι ενάρξεως λειτουργίας του σημείου Αμφιτρίτη (Β) τριμηνιαίο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2"/>
  <sheetViews>
    <sheetView showGridLines="0" tabSelected="1" zoomScale="70" zoomScaleNormal="70" workbookViewId="0">
      <selection activeCell="D11" sqref="D11:D12"/>
    </sheetView>
  </sheetViews>
  <sheetFormatPr defaultColWidth="8.88671875" defaultRowHeight="14.4" x14ac:dyDescent="0.3"/>
  <cols>
    <col min="1" max="1" width="70.33203125" customWidth="1"/>
    <col min="2" max="2" width="31.44140625" customWidth="1"/>
    <col min="3" max="3" width="27.44140625" customWidth="1"/>
    <col min="4" max="4" width="25.5546875" customWidth="1"/>
    <col min="5" max="5" width="69.6640625" customWidth="1"/>
    <col min="6" max="6" width="26.44140625" customWidth="1"/>
    <col min="7" max="7" width="27.109375" customWidth="1"/>
    <col min="8" max="9" width="18.33203125" customWidth="1"/>
    <col min="10" max="10" width="18.5546875" customWidth="1"/>
    <col min="11" max="11" width="18.5546875" hidden="1" customWidth="1"/>
    <col min="12" max="12" width="27.6640625" customWidth="1"/>
    <col min="13" max="13" width="16.88671875" customWidth="1"/>
    <col min="14" max="14" width="19.6640625" customWidth="1"/>
    <col min="15" max="15" width="22.109375" customWidth="1"/>
    <col min="16" max="16" width="19.44140625" customWidth="1"/>
    <col min="17" max="17" width="14.88671875" customWidth="1"/>
  </cols>
  <sheetData>
    <row r="1" spans="1:17" ht="65.400000000000006" customHeight="1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</row>
    <row r="2" spans="1:17" s="8" customFormat="1" ht="117" customHeight="1" thickBot="1" x14ac:dyDescent="0.35">
      <c r="A2" s="30" t="s">
        <v>1</v>
      </c>
      <c r="B2" s="31" t="s">
        <v>2</v>
      </c>
      <c r="C2" s="31" t="s">
        <v>3</v>
      </c>
      <c r="D2" s="32" t="s">
        <v>4</v>
      </c>
      <c r="E2" s="31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79" t="s">
        <v>13</v>
      </c>
      <c r="N2" s="80"/>
      <c r="O2" s="79" t="s">
        <v>14</v>
      </c>
      <c r="P2" s="80"/>
    </row>
    <row r="3" spans="1:17" s="7" customFormat="1" ht="45" customHeight="1" thickTop="1" x14ac:dyDescent="0.3">
      <c r="A3" s="50" t="s">
        <v>68</v>
      </c>
      <c r="B3" s="39" t="s">
        <v>15</v>
      </c>
      <c r="C3" s="41" t="s">
        <v>37</v>
      </c>
      <c r="D3" s="39"/>
      <c r="E3" s="41" t="s">
        <v>17</v>
      </c>
      <c r="F3" s="14">
        <f>VLOOKUP(E3,' Days'!$A:$C,3,FALSE)</f>
        <v>1</v>
      </c>
      <c r="G3" s="24">
        <f>IF(B3='B-SDM_ENTRY'!G14,VLOOKUP(E3,'B-SDM_ENTRY'!$A$1:$D$14,4,FALSE),VLOOKUP(E3,'B-SDM_EXIT'!$A$1:$D$14,4,FALSE))</f>
        <v>5.4442043999999994</v>
      </c>
      <c r="H3" s="25">
        <f>VLOOKUP(E3,'B-SDM_ENTRY'!$A$1:$C$14,3,FALSE)</f>
        <v>2.9714</v>
      </c>
      <c r="I3" s="15" t="s">
        <v>18</v>
      </c>
      <c r="J3" s="16">
        <f>IF(C3="Firm",0%,IF(B3="EXIT (GR→BG)",5%,50%))</f>
        <v>0</v>
      </c>
      <c r="K3" s="46">
        <f>VLOOKUP(E3,' Days'!A:B,2,FALSE)</f>
        <v>366</v>
      </c>
      <c r="L3" s="12">
        <f>F3/K3*D3*G3/24*H3*(1-J3)</f>
        <v>0</v>
      </c>
      <c r="M3" s="81">
        <f>IF(F3&gt;=365,20%,IF(F3&lt;=1,100%,50%))</f>
        <v>1</v>
      </c>
      <c r="N3" s="81"/>
      <c r="O3" s="78">
        <f>M3*L3</f>
        <v>0</v>
      </c>
      <c r="P3" s="78"/>
    </row>
    <row r="4" spans="1:17" s="7" customFormat="1" ht="45" customHeight="1" x14ac:dyDescent="0.3">
      <c r="A4" s="51" t="s">
        <v>70</v>
      </c>
      <c r="B4" s="27" t="s">
        <v>20</v>
      </c>
      <c r="C4" s="27" t="s">
        <v>21</v>
      </c>
      <c r="D4" s="37"/>
      <c r="E4" s="40" t="s">
        <v>17</v>
      </c>
      <c r="F4" s="17">
        <f>VLOOKUP(E4,' Days'!$A:$C,3,FALSE)</f>
        <v>1</v>
      </c>
      <c r="G4" s="26">
        <f>VLOOKUP(E4,'B-SDM_ENTRY'!$A$31:$D$37,4,FALSE)</f>
        <v>2.9175705999999999</v>
      </c>
      <c r="H4" s="27">
        <f>VLOOKUP(E4,'B-SDM_ENTRY'!$A$31:$D$37,3,FALSE)</f>
        <v>1.3794999999999999</v>
      </c>
      <c r="I4" s="18" t="s">
        <v>18</v>
      </c>
      <c r="J4" s="19">
        <v>0.1</v>
      </c>
      <c r="K4" s="47">
        <f>VLOOKUP(E4,' Days'!A:B,2,FALSE)</f>
        <v>366</v>
      </c>
      <c r="L4" s="11">
        <f>F4/K4*D4*G4/24*H4*(1-J4)</f>
        <v>0</v>
      </c>
      <c r="M4" s="82">
        <f>IF(F4&gt;=365,20%,IF(F4&lt;=1,100%,50%))</f>
        <v>1</v>
      </c>
      <c r="N4" s="82"/>
      <c r="O4" s="83">
        <f t="shared" ref="O4" si="0">M4*L4</f>
        <v>0</v>
      </c>
      <c r="P4" s="83"/>
    </row>
    <row r="5" spans="1:17" s="7" customFormat="1" ht="45" customHeight="1" x14ac:dyDescent="0.3">
      <c r="A5" s="51" t="s">
        <v>69</v>
      </c>
      <c r="B5" s="40" t="s">
        <v>19</v>
      </c>
      <c r="C5" s="40" t="s">
        <v>37</v>
      </c>
      <c r="D5" s="37"/>
      <c r="E5" s="40" t="s">
        <v>17</v>
      </c>
      <c r="F5" s="17">
        <f>VLOOKUP(E5,' Days'!$A:$C,3,FALSE)</f>
        <v>1</v>
      </c>
      <c r="G5" s="26">
        <f>IF(B5='B-SDM_ENTRY'!G15,VLOOKUP(E5,'B-SDM_ENTRY'!$A$1:$D$14,4,FALSE),VLOOKUP(E5,'B-SDM_EXIT'!$A$1:$D$14,4,FALSE))</f>
        <v>5.4442043999999994</v>
      </c>
      <c r="H5" s="27">
        <f>VLOOKUP(E5,'B-SDM_ENTRY'!$A$1:$C$14,3,FALSE)</f>
        <v>2.9714</v>
      </c>
      <c r="I5" s="18" t="s">
        <v>18</v>
      </c>
      <c r="J5" s="19">
        <f>IF(C5="Firm",0%,IF(B5="ΕΧΙΤ (DESFA→TAP)",5%,50%))</f>
        <v>0</v>
      </c>
      <c r="K5" s="47">
        <f>VLOOKUP(E5,' Days'!A:B,2,FALSE)</f>
        <v>366</v>
      </c>
      <c r="L5" s="11">
        <f>F5/K5*D5*G5/24*H5*(1-J5)</f>
        <v>0</v>
      </c>
      <c r="M5" s="82">
        <f>IF(F5&gt;=365,20%,IF(F5&lt;=1,100%,50%))</f>
        <v>1</v>
      </c>
      <c r="N5" s="82"/>
      <c r="O5" s="83">
        <f>M5*L5</f>
        <v>0</v>
      </c>
      <c r="P5" s="83"/>
    </row>
    <row r="6" spans="1:17" s="7" customFormat="1" ht="45" customHeight="1" thickBot="1" x14ac:dyDescent="0.35">
      <c r="A6" s="54" t="s">
        <v>71</v>
      </c>
      <c r="B6" s="55" t="s">
        <v>26</v>
      </c>
      <c r="C6" s="56" t="s">
        <v>25</v>
      </c>
      <c r="D6" s="57"/>
      <c r="E6" s="58" t="s">
        <v>17</v>
      </c>
      <c r="F6" s="59">
        <f>VLOOKUP(E6,' Days'!$A:$C,3,FALSE)</f>
        <v>1</v>
      </c>
      <c r="G6" s="60">
        <f>VLOOKUP(E6,'B-SDM_EXIT'!$A$17:$D$28,4,FALSE)</f>
        <v>5.4442043999999994</v>
      </c>
      <c r="H6" s="55">
        <f>VLOOKUP(E6,'B-SDM_ENTRY'!$A$17:$C$28,3,FALSE)</f>
        <v>2.9714</v>
      </c>
      <c r="I6" s="61" t="s">
        <v>18</v>
      </c>
      <c r="J6" s="62">
        <v>0.1</v>
      </c>
      <c r="K6" s="63">
        <f>VLOOKUP(E6,' Days'!A:B,2,FALSE)</f>
        <v>366</v>
      </c>
      <c r="L6" s="64">
        <f>F6/K6*D6*G6/24*H6*(1-J6)</f>
        <v>0</v>
      </c>
      <c r="M6" s="84">
        <f>IF(F6&gt;=365,20%,IF(F6&lt;=1,100%,50%))</f>
        <v>1</v>
      </c>
      <c r="N6" s="84"/>
      <c r="O6" s="88">
        <f>M6*L6</f>
        <v>0</v>
      </c>
      <c r="P6" s="88"/>
    </row>
    <row r="7" spans="1:17" s="7" customFormat="1" ht="10.5" customHeight="1" thickTop="1" thickBot="1" x14ac:dyDescent="0.35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1:17" s="7" customFormat="1" ht="54.6" customHeight="1" thickTop="1" x14ac:dyDescent="0.3">
      <c r="A8" s="65" t="s">
        <v>75</v>
      </c>
      <c r="B8" s="66" t="s">
        <v>22</v>
      </c>
      <c r="C8" s="67" t="s">
        <v>25</v>
      </c>
      <c r="D8" s="52"/>
      <c r="E8" s="67" t="s">
        <v>17</v>
      </c>
      <c r="F8" s="68">
        <f>VLOOKUP(E8,' Days'!$A:$C,3,FALSE)</f>
        <v>1</v>
      </c>
      <c r="G8" s="69">
        <f>VLOOKUP(E8,'B-SDM_ENTRY'!$A$17:$D$28,4,FALSE)</f>
        <v>2.9175705999999999</v>
      </c>
      <c r="H8" s="66">
        <f>VLOOKUP(E8,'B-SDM_ENTRY'!$A$17:$C$28,3,FALSE)</f>
        <v>2.9714</v>
      </c>
      <c r="I8" s="70" t="s">
        <v>18</v>
      </c>
      <c r="J8" s="71">
        <v>0.1</v>
      </c>
      <c r="K8" s="72">
        <f>VLOOKUP(E8,' Days'!A:B,2,FALSE)</f>
        <v>366</v>
      </c>
      <c r="L8" s="73">
        <f>IF(F8&lt;K8,F8/K8*D8*G8/24*H8*(1-J8),((92/365*2.9175706/24*D8)+(274/366*2.9175706/24*D8))*(1-J8))</f>
        <v>0</v>
      </c>
      <c r="M8" s="86">
        <f>IF(F8&gt;=365,20%,IF(F8&lt;=1,100%,50%))</f>
        <v>1</v>
      </c>
      <c r="N8" s="86"/>
      <c r="O8" s="87">
        <f>M8*L8</f>
        <v>0</v>
      </c>
      <c r="P8" s="87"/>
    </row>
    <row r="9" spans="1:17" s="7" customFormat="1" ht="52.95" customHeight="1" thickBot="1" x14ac:dyDescent="0.35">
      <c r="A9" s="28" t="s">
        <v>35</v>
      </c>
      <c r="B9" s="28" t="s">
        <v>36</v>
      </c>
      <c r="C9" s="28" t="s">
        <v>37</v>
      </c>
      <c r="D9" s="38"/>
      <c r="E9" s="53"/>
      <c r="F9" s="106"/>
      <c r="G9" s="20">
        <v>5.4442044000000003</v>
      </c>
      <c r="H9" s="20">
        <f>IF(F9&lt;365,ROUND(3.880929*EXP(-0.003715*F9),4),1)</f>
        <v>3.8809</v>
      </c>
      <c r="I9" s="20">
        <v>1.8310000000000001E-4</v>
      </c>
      <c r="J9" s="21">
        <v>0</v>
      </c>
      <c r="K9" s="48">
        <v>366</v>
      </c>
      <c r="L9" s="22">
        <f>IF(F9&lt;=366,F9/366*D9*H9*G9/24,D9*H9*G9/24)</f>
        <v>0</v>
      </c>
      <c r="M9" s="85">
        <f>IF(F9&gt;=365,20%,IF(F9&lt;=5,100%,IF(F9&gt;=90,(50-(((F9-90)/275)*30))%,50%)))</f>
        <v>1</v>
      </c>
      <c r="N9" s="85"/>
      <c r="O9" s="77">
        <f>L9*M9</f>
        <v>0</v>
      </c>
      <c r="P9" s="77"/>
      <c r="Q9" s="74" t="s">
        <v>74</v>
      </c>
    </row>
    <row r="10" spans="1:17" s="7" customFormat="1" ht="100.5" customHeight="1" thickTop="1" x14ac:dyDescent="0.3">
      <c r="A10" s="33" t="s">
        <v>27</v>
      </c>
      <c r="B10" s="34" t="s">
        <v>2</v>
      </c>
      <c r="C10" s="34" t="s">
        <v>3</v>
      </c>
      <c r="D10" s="35" t="s">
        <v>28</v>
      </c>
      <c r="E10" s="94" t="s">
        <v>29</v>
      </c>
      <c r="F10" s="95"/>
      <c r="G10" s="35" t="s">
        <v>23</v>
      </c>
      <c r="H10" s="35" t="s">
        <v>8</v>
      </c>
      <c r="I10" s="35" t="s">
        <v>9</v>
      </c>
      <c r="J10" s="35" t="s">
        <v>24</v>
      </c>
      <c r="K10" s="35"/>
      <c r="L10" s="35" t="s">
        <v>73</v>
      </c>
      <c r="M10" s="93" t="s">
        <v>13</v>
      </c>
      <c r="N10" s="93"/>
      <c r="O10" s="93" t="s">
        <v>14</v>
      </c>
      <c r="P10" s="93"/>
    </row>
    <row r="11" spans="1:17" s="7" customFormat="1" ht="51" customHeight="1" x14ac:dyDescent="0.3">
      <c r="A11" s="27" t="s">
        <v>30</v>
      </c>
      <c r="B11" s="27" t="s">
        <v>31</v>
      </c>
      <c r="C11" s="104" t="s">
        <v>32</v>
      </c>
      <c r="D11" s="102"/>
      <c r="E11" s="98"/>
      <c r="F11" s="99"/>
      <c r="G11" s="18">
        <v>2.9175705999999999</v>
      </c>
      <c r="H11" s="18">
        <f>IF(E11&lt;18,(ROUND((-0.0865507*E11)+3.0579123,4)),(IF(E11&lt;365,ROUND(1.5327293*EXP(-0.00117*E11),4),1)))</f>
        <v>3.0579000000000001</v>
      </c>
      <c r="I11" s="18" t="s">
        <v>18</v>
      </c>
      <c r="J11" s="19">
        <v>0</v>
      </c>
      <c r="K11" s="18"/>
      <c r="L11" s="23">
        <f>IF(E11&lt;=366,E11/366*H11*D11*G11/24,H11*D11*G11/24)</f>
        <v>0</v>
      </c>
      <c r="M11" s="96">
        <f>IF(E11&gt;=365,20%,IF(E11&lt;=5,100%,IF(E11&gt;=90,(50-(((E11-90)/275)*30))%,50%)))</f>
        <v>1</v>
      </c>
      <c r="N11" s="96"/>
      <c r="O11" s="11">
        <f>M11*L11</f>
        <v>0</v>
      </c>
      <c r="P11" s="83">
        <f>O11+O12</f>
        <v>0</v>
      </c>
    </row>
    <row r="12" spans="1:17" s="7" customFormat="1" ht="51.75" customHeight="1" thickBot="1" x14ac:dyDescent="0.35">
      <c r="A12" s="28" t="s">
        <v>33</v>
      </c>
      <c r="B12" s="28" t="s">
        <v>34</v>
      </c>
      <c r="C12" s="105"/>
      <c r="D12" s="103"/>
      <c r="E12" s="100"/>
      <c r="F12" s="101"/>
      <c r="G12" s="20">
        <v>1.9239538</v>
      </c>
      <c r="H12" s="20">
        <f>IF(E11&lt;18,(ROUND((-0.0865507*E11)+3.0579123,4)),(IF(E11&lt;365,ROUND(1.5327293*EXP(-0.00117*E11),4),1)))</f>
        <v>3.0579000000000001</v>
      </c>
      <c r="I12" s="20" t="s">
        <v>18</v>
      </c>
      <c r="J12" s="21">
        <v>0</v>
      </c>
      <c r="K12" s="20"/>
      <c r="L12" s="22">
        <f>IF(E11&lt;=366,E11/366*H12*D11*G12/24,H12*D11*G12/24)</f>
        <v>0</v>
      </c>
      <c r="M12" s="97">
        <f>IF(E11&lt;365,50%,30%)</f>
        <v>0.5</v>
      </c>
      <c r="N12" s="97"/>
      <c r="O12" s="36">
        <f>M12*L12</f>
        <v>0</v>
      </c>
      <c r="P12" s="77"/>
    </row>
    <row r="13" spans="1:17" s="7" customFormat="1" ht="51.75" customHeight="1" thickTop="1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17" ht="54.6" customHeight="1" x14ac:dyDescent="0.3">
      <c r="A14" s="92" t="s">
        <v>38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</row>
    <row r="18" spans="1:12" ht="22.2" customHeight="1" x14ac:dyDescent="0.35">
      <c r="A18" s="29" t="s">
        <v>39</v>
      </c>
    </row>
    <row r="19" spans="1:12" ht="28.95" customHeight="1" x14ac:dyDescent="0.35">
      <c r="A19" s="42" t="s">
        <v>40</v>
      </c>
      <c r="B19" s="43"/>
      <c r="C19" s="43"/>
      <c r="D19" s="43"/>
      <c r="E19" s="43"/>
      <c r="F19" s="43"/>
      <c r="L19" s="13"/>
    </row>
    <row r="20" spans="1:12" ht="10.5" customHeight="1" x14ac:dyDescent="0.3"/>
    <row r="21" spans="1:12" ht="21.75" customHeight="1" x14ac:dyDescent="0.35">
      <c r="A21" s="29" t="s">
        <v>72</v>
      </c>
      <c r="B21" s="29"/>
      <c r="D21" s="29"/>
      <c r="E21" s="29"/>
    </row>
    <row r="22" spans="1:12" ht="29.25" customHeight="1" x14ac:dyDescent="0.3"/>
    <row r="32" spans="1:12" x14ac:dyDescent="0.3">
      <c r="E32" t="str">
        <f>(SUBSTITUTE(SUBSTITUTE(B5," (","__"),")",""))</f>
        <v>ΕΧΙΤ__DESFA→TAP</v>
      </c>
    </row>
  </sheetData>
  <sheetProtection algorithmName="SHA-512" hashValue="CNbOyf8eQGZV76/rBpXcPuKhWG0Tfsj7a6qFZZCgps64orce6LQMlTttURYPuhtPcCZlexhqOoBMntD6Oo1iDg==" saltValue="5IOMJoRLdzYD56JsV7cCEA==" spinCount="100000" sheet="1" objects="1" scenarios="1" selectLockedCells="1"/>
  <dataConsolidate/>
  <mergeCells count="26">
    <mergeCell ref="A14:P14"/>
    <mergeCell ref="M10:N10"/>
    <mergeCell ref="P11:P12"/>
    <mergeCell ref="O10:P10"/>
    <mergeCell ref="E10:F10"/>
    <mergeCell ref="M11:N11"/>
    <mergeCell ref="M12:N12"/>
    <mergeCell ref="E11:F12"/>
    <mergeCell ref="D11:D12"/>
    <mergeCell ref="C11:C12"/>
    <mergeCell ref="A1:P1"/>
    <mergeCell ref="O9:P9"/>
    <mergeCell ref="O3:P3"/>
    <mergeCell ref="O2:P2"/>
    <mergeCell ref="M3:N3"/>
    <mergeCell ref="M5:N5"/>
    <mergeCell ref="M4:N4"/>
    <mergeCell ref="O4:P4"/>
    <mergeCell ref="M2:N2"/>
    <mergeCell ref="O5:P5"/>
    <mergeCell ref="M6:N6"/>
    <mergeCell ref="M9:N9"/>
    <mergeCell ref="M8:N8"/>
    <mergeCell ref="O8:P8"/>
    <mergeCell ref="O6:P6"/>
    <mergeCell ref="A7:P7"/>
  </mergeCells>
  <dataValidations count="2">
    <dataValidation type="list" allowBlank="1" showInputMessage="1" showErrorMessage="1" prompt="&quot;ΕΧΙΤ (DESFA→TAP)&quot;  &quot;Type of Product&quot; only &quot;Interruptible&quot;" sqref="B5" xr:uid="{3F855186-4B65-4351-A736-AC436E0795D7}">
      <formula1>Route_IPs</formula1>
    </dataValidation>
    <dataValidation type="list" allowBlank="1" showInputMessage="1" showErrorMessage="1" sqref="C5" xr:uid="{B29C7A0D-E7FD-4C69-935B-5B8E58CFA2E6}">
      <formula1>INDIRECT((SUBSTITUTE(SUBSTITUTE(B5," (","__"),")","")))</formula1>
    </dataValidation>
  </dataValidations>
  <pageMargins left="0.7" right="0.7" top="0.75" bottom="0.75" header="0.3" footer="0.3"/>
  <pageSetup paperSize="9" orientation="portrait" verticalDpi="90" r:id="rId1"/>
  <customProperties>
    <customPr name="_pios_id" r:id="rId2"/>
    <customPr name="EpmWorksheetKeyString_GUID" r:id="rId3"/>
  </customPropertie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2B0172A-31B9-4C13-9F04-4AC4232FFCBA}">
          <x14:formula1>
            <xm:f>'Type of Product'!$A$2:$A$3</xm:f>
          </x14:formula1>
          <xm:sqref>C3</xm:sqref>
        </x14:dataValidation>
        <x14:dataValidation type="list" allowBlank="1" showInputMessage="1" showErrorMessage="1" xr:uid="{7FFB4972-20BC-4700-B708-E89A615AC7A9}">
          <x14:formula1>
            <xm:f>IPs!$A$2:$A$3</xm:f>
          </x14:formula1>
          <xm:sqref>B3:B4</xm:sqref>
        </x14:dataValidation>
        <x14:dataValidation type="list" allowBlank="1" showInputMessage="1" showErrorMessage="1" xr:uid="{D606779A-9212-4C39-B796-99BF03F3DE24}">
          <x14:formula1>
            <xm:f>'B-SDM_ENTRY'!$A$31:$A$37</xm:f>
          </x14:formula1>
          <xm:sqref>E4</xm:sqref>
        </x14:dataValidation>
        <x14:dataValidation type="list" allowBlank="1" showInputMessage="1" showErrorMessage="1" xr:uid="{00000000-0002-0000-0000-000001000000}">
          <x14:formula1>
            <xm:f>'B-SDM_ENTRY'!$A$2:$A$13</xm:f>
          </x14:formula1>
          <xm:sqref>E3:E5</xm:sqref>
        </x14:dataValidation>
        <x14:dataValidation type="list" allowBlank="1" showInputMessage="1" showErrorMessage="1" xr:uid="{1DC6F628-C150-49C3-9592-597A9DCDDD69}">
          <x14:formula1>
            <xm:f>'B-SDM_ENTRY'!$A$17:$A$28</xm:f>
          </x14:formula1>
          <xm:sqref>E8 E6</xm:sqref>
        </x14:dataValidation>
        <x14:dataValidation type="list" allowBlank="1" showInputMessage="1" showErrorMessage="1" xr:uid="{97E36DC0-8B2F-4DE9-87D0-4BFB2A40CAE4}">
          <x14:formula1>
            <xm:f>'Type of Product'!$A$4:$A$5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93835-E8AD-4CD0-999A-F6B351A26F4C}">
  <dimension ref="A1:I15"/>
  <sheetViews>
    <sheetView workbookViewId="0">
      <selection activeCell="A9" sqref="A9"/>
    </sheetView>
  </sheetViews>
  <sheetFormatPr defaultRowHeight="14.4" x14ac:dyDescent="0.3"/>
  <cols>
    <col min="1" max="1" width="25.33203125" customWidth="1"/>
    <col min="2" max="2" width="18.33203125" customWidth="1"/>
    <col min="3" max="3" width="22.33203125" customWidth="1"/>
    <col min="7" max="7" width="19.44140625" bestFit="1" customWidth="1"/>
    <col min="8" max="8" width="25.44140625" customWidth="1"/>
    <col min="9" max="9" width="24.6640625" customWidth="1"/>
  </cols>
  <sheetData>
    <row r="1" spans="1:9" x14ac:dyDescent="0.3">
      <c r="A1" s="10" t="s">
        <v>41</v>
      </c>
    </row>
    <row r="2" spans="1:9" x14ac:dyDescent="0.3">
      <c r="A2" t="s">
        <v>42</v>
      </c>
    </row>
    <row r="3" spans="1:9" x14ac:dyDescent="0.3">
      <c r="A3" t="s">
        <v>15</v>
      </c>
    </row>
    <row r="4" spans="1:9" x14ac:dyDescent="0.3">
      <c r="G4" s="10" t="s">
        <v>41</v>
      </c>
      <c r="H4" t="s">
        <v>44</v>
      </c>
      <c r="I4" t="s">
        <v>19</v>
      </c>
    </row>
    <row r="5" spans="1:9" x14ac:dyDescent="0.3">
      <c r="A5" t="s">
        <v>20</v>
      </c>
      <c r="G5" t="s">
        <v>44</v>
      </c>
      <c r="H5" t="s">
        <v>37</v>
      </c>
      <c r="I5" t="s">
        <v>16</v>
      </c>
    </row>
    <row r="6" spans="1:9" x14ac:dyDescent="0.3">
      <c r="A6" t="s">
        <v>43</v>
      </c>
      <c r="G6" t="s">
        <v>19</v>
      </c>
      <c r="H6" t="s">
        <v>16</v>
      </c>
    </row>
    <row r="8" spans="1:9" x14ac:dyDescent="0.3">
      <c r="A8" t="s">
        <v>44</v>
      </c>
    </row>
    <row r="9" spans="1:9" x14ac:dyDescent="0.3">
      <c r="A9" t="s">
        <v>19</v>
      </c>
    </row>
    <row r="11" spans="1:9" x14ac:dyDescent="0.3">
      <c r="A11" t="s">
        <v>45</v>
      </c>
      <c r="H11" t="s">
        <v>76</v>
      </c>
    </row>
    <row r="12" spans="1:9" x14ac:dyDescent="0.3">
      <c r="A12" t="s">
        <v>46</v>
      </c>
      <c r="H12" t="s">
        <v>77</v>
      </c>
    </row>
    <row r="13" spans="1:9" x14ac:dyDescent="0.3">
      <c r="H13" t="s">
        <v>77</v>
      </c>
    </row>
    <row r="15" spans="1:9" x14ac:dyDescent="0.3">
      <c r="H15" t="b">
        <f>H13=H12</f>
        <v>1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D47B-4508-4794-8F53-4DAE5B43A9E6}">
  <dimension ref="A1:A5"/>
  <sheetViews>
    <sheetView workbookViewId="0">
      <selection activeCell="A9" sqref="A9"/>
    </sheetView>
  </sheetViews>
  <sheetFormatPr defaultRowHeight="14.4" x14ac:dyDescent="0.3"/>
  <cols>
    <col min="1" max="1" width="16" customWidth="1"/>
  </cols>
  <sheetData>
    <row r="1" spans="1:1" x14ac:dyDescent="0.3">
      <c r="A1" s="9" t="s">
        <v>3</v>
      </c>
    </row>
    <row r="2" spans="1:1" x14ac:dyDescent="0.3">
      <c r="A2" t="s">
        <v>37</v>
      </c>
    </row>
    <row r="3" spans="1:1" x14ac:dyDescent="0.3">
      <c r="A3" t="s">
        <v>16</v>
      </c>
    </row>
    <row r="4" spans="1:1" x14ac:dyDescent="0.3">
      <c r="A4" t="s">
        <v>21</v>
      </c>
    </row>
    <row r="5" spans="1:1" x14ac:dyDescent="0.3">
      <c r="A5" t="s">
        <v>25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zoomScaleNormal="100" workbookViewId="0">
      <selection activeCell="A9" sqref="A9"/>
    </sheetView>
  </sheetViews>
  <sheetFormatPr defaultRowHeight="14.4" x14ac:dyDescent="0.3"/>
  <cols>
    <col min="1" max="1" width="89.44140625" customWidth="1"/>
    <col min="3" max="3" width="19.33203125" customWidth="1"/>
    <col min="4" max="4" width="14" customWidth="1"/>
    <col min="5" max="5" width="7.109375" customWidth="1"/>
    <col min="6" max="6" width="25.5546875" customWidth="1"/>
    <col min="7" max="7" width="19.44140625" customWidth="1"/>
    <col min="8" max="8" width="11.5546875" customWidth="1"/>
    <col min="9" max="9" width="12.33203125" customWidth="1"/>
    <col min="10" max="10" width="11.44140625" customWidth="1"/>
    <col min="12" max="12" width="9.44140625" customWidth="1"/>
  </cols>
  <sheetData>
    <row r="1" spans="1:8" x14ac:dyDescent="0.3">
      <c r="A1" s="1" t="s">
        <v>47</v>
      </c>
      <c r="B1" s="1" t="s">
        <v>48</v>
      </c>
      <c r="C1" s="1" t="s">
        <v>49</v>
      </c>
      <c r="D1" s="1" t="s">
        <v>50</v>
      </c>
    </row>
    <row r="2" spans="1:8" x14ac:dyDescent="0.3">
      <c r="A2" t="s">
        <v>17</v>
      </c>
      <c r="B2">
        <v>1</v>
      </c>
      <c r="C2">
        <v>2.9714</v>
      </c>
      <c r="D2">
        <v>2.9175705999999999</v>
      </c>
      <c r="E2" s="6">
        <v>365</v>
      </c>
      <c r="F2" s="2">
        <f>IF(E2&lt;18,(ROUND(3.008886*EXP(-0.003018*E2),4)),(ROUND(1.53188*EXP(-0.001168*E2),4)))</f>
        <v>1.0002</v>
      </c>
      <c r="G2" s="4"/>
      <c r="H2" s="4"/>
    </row>
    <row r="3" spans="1:8" x14ac:dyDescent="0.3">
      <c r="A3" t="s">
        <v>51</v>
      </c>
      <c r="B3">
        <v>1</v>
      </c>
      <c r="C3">
        <v>2.9714</v>
      </c>
      <c r="D3" s="5">
        <v>4.7934330000000003</v>
      </c>
      <c r="E3">
        <v>366</v>
      </c>
      <c r="F3" s="3"/>
      <c r="G3" s="4"/>
      <c r="H3" s="4"/>
    </row>
    <row r="4" spans="1:8" x14ac:dyDescent="0.3">
      <c r="A4" t="s">
        <v>52</v>
      </c>
      <c r="B4">
        <v>31</v>
      </c>
      <c r="C4">
        <v>1.4799</v>
      </c>
      <c r="D4" s="5">
        <v>4.7934330000000003</v>
      </c>
      <c r="F4" s="3"/>
      <c r="G4" s="4"/>
      <c r="H4" s="4"/>
    </row>
    <row r="5" spans="1:8" x14ac:dyDescent="0.3">
      <c r="A5" t="s">
        <v>53</v>
      </c>
      <c r="B5">
        <v>30</v>
      </c>
      <c r="C5">
        <v>1.4799</v>
      </c>
      <c r="D5" s="5">
        <v>4.7934330000000003</v>
      </c>
      <c r="G5" s="4"/>
      <c r="H5" s="4"/>
    </row>
    <row r="6" spans="1:8" x14ac:dyDescent="0.3">
      <c r="A6" t="s">
        <v>54</v>
      </c>
      <c r="B6">
        <v>31</v>
      </c>
      <c r="C6">
        <v>1.4799</v>
      </c>
      <c r="D6" s="5">
        <v>2.9175705999999999</v>
      </c>
      <c r="G6" s="4"/>
      <c r="H6" s="4"/>
    </row>
    <row r="7" spans="1:8" x14ac:dyDescent="0.3">
      <c r="A7" t="s">
        <v>55</v>
      </c>
      <c r="B7">
        <v>30</v>
      </c>
      <c r="C7">
        <v>1.4799</v>
      </c>
      <c r="D7" s="5">
        <v>2.9175705999999999</v>
      </c>
      <c r="G7" s="4"/>
      <c r="H7" s="4"/>
    </row>
    <row r="8" spans="1:8" x14ac:dyDescent="0.3">
      <c r="A8" t="s">
        <v>56</v>
      </c>
      <c r="B8">
        <v>29</v>
      </c>
      <c r="C8">
        <v>1.4799</v>
      </c>
      <c r="D8" s="5">
        <v>2.9175705999999999</v>
      </c>
      <c r="G8" s="4"/>
      <c r="H8" s="4"/>
    </row>
    <row r="9" spans="1:8" x14ac:dyDescent="0.3">
      <c r="A9" t="s">
        <v>57</v>
      </c>
      <c r="B9">
        <v>92</v>
      </c>
      <c r="C9">
        <v>1.3794999999999999</v>
      </c>
      <c r="D9" s="5">
        <v>4.7934330000000003</v>
      </c>
    </row>
    <row r="10" spans="1:8" x14ac:dyDescent="0.3">
      <c r="A10" t="s">
        <v>58</v>
      </c>
      <c r="B10">
        <v>91</v>
      </c>
      <c r="C10">
        <v>1.3794999999999999</v>
      </c>
      <c r="D10" s="5">
        <v>2.9175705999999999</v>
      </c>
      <c r="G10" s="4"/>
      <c r="H10" s="4"/>
    </row>
    <row r="11" spans="1:8" x14ac:dyDescent="0.3">
      <c r="A11" t="s">
        <v>59</v>
      </c>
      <c r="B11">
        <v>91</v>
      </c>
      <c r="C11">
        <v>1.3794999999999999</v>
      </c>
      <c r="D11" s="5">
        <v>2.9175705999999999</v>
      </c>
    </row>
    <row r="12" spans="1:8" x14ac:dyDescent="0.3">
      <c r="A12" t="s">
        <v>60</v>
      </c>
      <c r="B12">
        <v>92</v>
      </c>
      <c r="C12">
        <v>1.3794999999999999</v>
      </c>
      <c r="D12" s="5">
        <v>2.9175705999999999</v>
      </c>
    </row>
    <row r="13" spans="1:8" x14ac:dyDescent="0.3">
      <c r="A13" t="s">
        <v>61</v>
      </c>
      <c r="B13">
        <v>366</v>
      </c>
      <c r="C13">
        <v>1</v>
      </c>
      <c r="D13" s="45">
        <f>D3*(92/365)+D2*(274/366)</f>
        <v>3.3923999676772212</v>
      </c>
    </row>
    <row r="14" spans="1:8" x14ac:dyDescent="0.3">
      <c r="G14" t="s">
        <v>42</v>
      </c>
    </row>
    <row r="15" spans="1:8" x14ac:dyDescent="0.3">
      <c r="G15" t="s">
        <v>44</v>
      </c>
    </row>
    <row r="16" spans="1:8" x14ac:dyDescent="0.3">
      <c r="A16" s="1" t="s">
        <v>62</v>
      </c>
      <c r="B16" s="1" t="s">
        <v>48</v>
      </c>
      <c r="C16" s="1" t="s">
        <v>49</v>
      </c>
      <c r="D16" s="1" t="s">
        <v>50</v>
      </c>
    </row>
    <row r="17" spans="1:4" x14ac:dyDescent="0.3">
      <c r="A17" t="s">
        <v>17</v>
      </c>
      <c r="B17">
        <v>1</v>
      </c>
      <c r="C17">
        <v>2.9714</v>
      </c>
      <c r="D17">
        <v>2.9175705999999999</v>
      </c>
    </row>
    <row r="18" spans="1:4" x14ac:dyDescent="0.3">
      <c r="A18" t="s">
        <v>51</v>
      </c>
      <c r="B18">
        <v>1</v>
      </c>
      <c r="C18">
        <v>2.9714</v>
      </c>
      <c r="D18" s="45">
        <v>2.9175705999999999</v>
      </c>
    </row>
    <row r="19" spans="1:4" x14ac:dyDescent="0.3">
      <c r="A19" t="s">
        <v>52</v>
      </c>
      <c r="B19">
        <v>31</v>
      </c>
      <c r="C19">
        <v>1.4799</v>
      </c>
      <c r="D19" s="45">
        <v>2.9175705999999999</v>
      </c>
    </row>
    <row r="20" spans="1:4" x14ac:dyDescent="0.3">
      <c r="A20" t="s">
        <v>53</v>
      </c>
      <c r="B20">
        <v>30</v>
      </c>
      <c r="C20">
        <v>1.4799</v>
      </c>
      <c r="D20" s="45">
        <v>2.9175705999999999</v>
      </c>
    </row>
    <row r="21" spans="1:4" x14ac:dyDescent="0.3">
      <c r="A21" t="s">
        <v>54</v>
      </c>
      <c r="B21">
        <v>31</v>
      </c>
      <c r="C21">
        <v>1.4799</v>
      </c>
      <c r="D21" s="5">
        <v>2.9175705999999999</v>
      </c>
    </row>
    <row r="22" spans="1:4" x14ac:dyDescent="0.3">
      <c r="A22" t="s">
        <v>55</v>
      </c>
      <c r="B22">
        <v>30</v>
      </c>
      <c r="C22">
        <v>1.4799</v>
      </c>
      <c r="D22" s="5">
        <v>2.9175705999999999</v>
      </c>
    </row>
    <row r="23" spans="1:4" x14ac:dyDescent="0.3">
      <c r="A23" t="s">
        <v>56</v>
      </c>
      <c r="B23">
        <v>29</v>
      </c>
      <c r="C23">
        <v>1.4799</v>
      </c>
      <c r="D23" s="5">
        <v>2.9175705999999999</v>
      </c>
    </row>
    <row r="24" spans="1:4" x14ac:dyDescent="0.3">
      <c r="A24" t="s">
        <v>57</v>
      </c>
      <c r="B24">
        <v>92</v>
      </c>
      <c r="C24">
        <v>1.3794999999999999</v>
      </c>
      <c r="D24" s="45">
        <v>2.9175705999999999</v>
      </c>
    </row>
    <row r="25" spans="1:4" x14ac:dyDescent="0.3">
      <c r="A25" t="s">
        <v>58</v>
      </c>
      <c r="B25">
        <v>91</v>
      </c>
      <c r="C25">
        <v>1.3794999999999999</v>
      </c>
      <c r="D25" s="5">
        <v>2.9175705999999999</v>
      </c>
    </row>
    <row r="26" spans="1:4" x14ac:dyDescent="0.3">
      <c r="A26" t="s">
        <v>59</v>
      </c>
      <c r="B26">
        <v>91</v>
      </c>
      <c r="C26">
        <v>1.3794999999999999</v>
      </c>
      <c r="D26" s="5">
        <v>2.9175705999999999</v>
      </c>
    </row>
    <row r="27" spans="1:4" x14ac:dyDescent="0.3">
      <c r="A27" t="s">
        <v>60</v>
      </c>
      <c r="B27">
        <v>92</v>
      </c>
      <c r="C27">
        <v>1.3794999999999999</v>
      </c>
      <c r="D27" s="5">
        <v>2.9175705999999999</v>
      </c>
    </row>
    <row r="28" spans="1:4" x14ac:dyDescent="0.3">
      <c r="A28" t="s">
        <v>61</v>
      </c>
      <c r="B28">
        <v>366</v>
      </c>
      <c r="C28">
        <v>1</v>
      </c>
      <c r="D28" s="45">
        <f>D18*(92/365)+D17*(274/366)</f>
        <v>2.9195798558963997</v>
      </c>
    </row>
    <row r="30" spans="1:4" x14ac:dyDescent="0.3">
      <c r="A30" s="1" t="s">
        <v>63</v>
      </c>
    </row>
    <row r="31" spans="1:4" x14ac:dyDescent="0.3">
      <c r="A31" t="s">
        <v>51</v>
      </c>
      <c r="B31">
        <v>1</v>
      </c>
      <c r="C31">
        <v>1.3794999999999999</v>
      </c>
      <c r="D31">
        <v>4.7934330000000003</v>
      </c>
    </row>
    <row r="32" spans="1:4" x14ac:dyDescent="0.3">
      <c r="A32" t="s">
        <v>52</v>
      </c>
      <c r="B32">
        <v>31</v>
      </c>
      <c r="C32">
        <v>1.3794999999999999</v>
      </c>
      <c r="D32">
        <f>D31</f>
        <v>4.7934330000000003</v>
      </c>
    </row>
    <row r="33" spans="1:4" x14ac:dyDescent="0.3">
      <c r="A33" t="s">
        <v>53</v>
      </c>
      <c r="B33">
        <v>30</v>
      </c>
      <c r="C33">
        <v>1.3794999999999999</v>
      </c>
      <c r="D33">
        <f>D32</f>
        <v>4.7934330000000003</v>
      </c>
    </row>
    <row r="34" spans="1:4" x14ac:dyDescent="0.3">
      <c r="A34" t="s">
        <v>17</v>
      </c>
      <c r="B34">
        <v>1</v>
      </c>
      <c r="C34" s="44">
        <v>1.3794999999999999</v>
      </c>
      <c r="D34">
        <v>2.9175705999999999</v>
      </c>
    </row>
    <row r="35" spans="1:4" x14ac:dyDescent="0.3">
      <c r="A35" t="s">
        <v>54</v>
      </c>
      <c r="B35">
        <v>31</v>
      </c>
      <c r="C35">
        <v>1.3794999999999999</v>
      </c>
      <c r="D35">
        <v>2.9175705999999999</v>
      </c>
    </row>
    <row r="36" spans="1:4" x14ac:dyDescent="0.3">
      <c r="A36" t="s">
        <v>55</v>
      </c>
      <c r="B36">
        <v>30</v>
      </c>
      <c r="C36">
        <v>1.3794999999999999</v>
      </c>
      <c r="D36">
        <v>2.9175705999999999</v>
      </c>
    </row>
    <row r="37" spans="1:4" x14ac:dyDescent="0.3">
      <c r="A37" t="s">
        <v>56</v>
      </c>
      <c r="B37">
        <v>29</v>
      </c>
      <c r="C37">
        <v>1.3794999999999999</v>
      </c>
      <c r="D37">
        <v>2.9175705999999999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21C0-D257-4CEC-856A-25E3AB1E3C5E}">
  <dimension ref="A1:I38"/>
  <sheetViews>
    <sheetView workbookViewId="0">
      <selection activeCell="A9" sqref="A9"/>
    </sheetView>
  </sheetViews>
  <sheetFormatPr defaultRowHeight="14.4" x14ac:dyDescent="0.3"/>
  <cols>
    <col min="1" max="1" width="89.44140625" customWidth="1"/>
    <col min="3" max="3" width="21.109375" customWidth="1"/>
    <col min="4" max="4" width="14" customWidth="1"/>
    <col min="5" max="5" width="7.109375" customWidth="1"/>
    <col min="6" max="6" width="25.5546875" customWidth="1"/>
    <col min="7" max="7" width="12.109375" customWidth="1"/>
    <col min="8" max="8" width="12.44140625" customWidth="1"/>
    <col min="9" max="9" width="10.5546875" bestFit="1" customWidth="1"/>
    <col min="10" max="10" width="10.88671875" customWidth="1"/>
  </cols>
  <sheetData>
    <row r="1" spans="1:9" x14ac:dyDescent="0.3">
      <c r="A1" s="1" t="s">
        <v>64</v>
      </c>
      <c r="B1" s="1" t="s">
        <v>48</v>
      </c>
      <c r="C1" s="1" t="s">
        <v>49</v>
      </c>
      <c r="D1" s="1" t="s">
        <v>50</v>
      </c>
    </row>
    <row r="2" spans="1:9" x14ac:dyDescent="0.3">
      <c r="A2" t="s">
        <v>17</v>
      </c>
      <c r="B2">
        <v>1</v>
      </c>
      <c r="C2">
        <v>2.9714</v>
      </c>
      <c r="D2">
        <v>5.4442043999999994</v>
      </c>
      <c r="E2" s="6">
        <v>365</v>
      </c>
      <c r="F2" s="2">
        <f>IF(E2&lt;18,(ROUND(3.008886*EXP(-0.003018*E2),4)),(ROUND(1.53188*EXP(-0.001168*E2),4)))</f>
        <v>1.0002</v>
      </c>
      <c r="H2" s="4"/>
      <c r="I2" s="4"/>
    </row>
    <row r="3" spans="1:9" x14ac:dyDescent="0.3">
      <c r="A3" t="s">
        <v>51</v>
      </c>
      <c r="B3">
        <v>1</v>
      </c>
      <c r="C3">
        <v>2.9714</v>
      </c>
      <c r="D3" s="5">
        <v>4.7934330000000003</v>
      </c>
      <c r="E3">
        <v>366</v>
      </c>
      <c r="F3" s="3"/>
      <c r="H3" s="4"/>
      <c r="I3" s="4"/>
    </row>
    <row r="4" spans="1:9" x14ac:dyDescent="0.3">
      <c r="A4" t="s">
        <v>52</v>
      </c>
      <c r="B4">
        <v>31</v>
      </c>
      <c r="C4">
        <v>1.4799</v>
      </c>
      <c r="D4" s="5">
        <v>4.7934330000000003</v>
      </c>
      <c r="F4" s="3"/>
      <c r="H4" s="4"/>
      <c r="I4" s="4"/>
    </row>
    <row r="5" spans="1:9" x14ac:dyDescent="0.3">
      <c r="A5" t="s">
        <v>53</v>
      </c>
      <c r="B5">
        <v>30</v>
      </c>
      <c r="C5">
        <v>1.4799</v>
      </c>
      <c r="D5" s="5">
        <v>4.7934330000000003</v>
      </c>
      <c r="F5" s="3"/>
      <c r="H5" s="4"/>
      <c r="I5" s="4"/>
    </row>
    <row r="6" spans="1:9" x14ac:dyDescent="0.3">
      <c r="A6" t="s">
        <v>54</v>
      </c>
      <c r="B6">
        <v>31</v>
      </c>
      <c r="C6">
        <v>1.4799</v>
      </c>
      <c r="D6" s="5">
        <v>5.4442043999999994</v>
      </c>
      <c r="F6" s="3"/>
      <c r="H6" s="4"/>
      <c r="I6" s="4"/>
    </row>
    <row r="7" spans="1:9" x14ac:dyDescent="0.3">
      <c r="A7" t="s">
        <v>55</v>
      </c>
      <c r="B7">
        <v>30</v>
      </c>
      <c r="C7">
        <v>1.4799</v>
      </c>
      <c r="D7" s="5">
        <v>5.4442043999999994</v>
      </c>
      <c r="H7" s="4"/>
      <c r="I7" s="4"/>
    </row>
    <row r="8" spans="1:9" x14ac:dyDescent="0.3">
      <c r="A8" t="s">
        <v>56</v>
      </c>
      <c r="B8">
        <v>29</v>
      </c>
      <c r="C8">
        <v>1.4799</v>
      </c>
      <c r="D8" s="5">
        <v>5.4442043999999994</v>
      </c>
      <c r="H8" s="4"/>
      <c r="I8" s="4"/>
    </row>
    <row r="9" spans="1:9" x14ac:dyDescent="0.3">
      <c r="A9" t="s">
        <v>57</v>
      </c>
      <c r="B9">
        <v>92</v>
      </c>
      <c r="C9">
        <v>1.3794999999999999</v>
      </c>
      <c r="D9" s="5">
        <v>4.7934330000000003</v>
      </c>
    </row>
    <row r="10" spans="1:9" x14ac:dyDescent="0.3">
      <c r="A10" t="s">
        <v>58</v>
      </c>
      <c r="B10">
        <v>91</v>
      </c>
      <c r="C10">
        <v>1.3794999999999999</v>
      </c>
      <c r="D10" s="5">
        <v>5.4442043999999994</v>
      </c>
      <c r="H10" s="4"/>
      <c r="I10" s="4"/>
    </row>
    <row r="11" spans="1:9" x14ac:dyDescent="0.3">
      <c r="A11" t="s">
        <v>59</v>
      </c>
      <c r="B11">
        <v>91</v>
      </c>
      <c r="C11">
        <v>1.3794999999999999</v>
      </c>
      <c r="D11" s="5">
        <v>5.4442043999999994</v>
      </c>
    </row>
    <row r="12" spans="1:9" x14ac:dyDescent="0.3">
      <c r="A12" t="s">
        <v>60</v>
      </c>
      <c r="B12">
        <v>92</v>
      </c>
      <c r="C12">
        <v>1.3794999999999999</v>
      </c>
      <c r="D12" s="5">
        <v>5.4442043999999994</v>
      </c>
    </row>
    <row r="13" spans="1:9" x14ac:dyDescent="0.3">
      <c r="A13" t="s">
        <v>61</v>
      </c>
      <c r="B13">
        <v>366</v>
      </c>
      <c r="C13">
        <v>1</v>
      </c>
      <c r="D13" s="45">
        <f>D3*(92/365)+D2*(274/366)</f>
        <v>5.2839236321580962</v>
      </c>
    </row>
    <row r="16" spans="1:9" x14ac:dyDescent="0.3">
      <c r="A16" s="1" t="s">
        <v>65</v>
      </c>
      <c r="B16" s="1" t="s">
        <v>48</v>
      </c>
      <c r="C16" s="1" t="s">
        <v>49</v>
      </c>
      <c r="D16" s="1" t="s">
        <v>50</v>
      </c>
    </row>
    <row r="17" spans="1:8" x14ac:dyDescent="0.3">
      <c r="A17" t="s">
        <v>17</v>
      </c>
      <c r="B17">
        <v>1</v>
      </c>
      <c r="C17">
        <v>2.9714</v>
      </c>
      <c r="D17">
        <v>5.4442043999999994</v>
      </c>
    </row>
    <row r="18" spans="1:8" x14ac:dyDescent="0.3">
      <c r="A18" t="s">
        <v>51</v>
      </c>
      <c r="B18">
        <v>1</v>
      </c>
      <c r="C18">
        <v>2.9714</v>
      </c>
      <c r="D18" s="45">
        <v>5.4442043999999994</v>
      </c>
    </row>
    <row r="19" spans="1:8" x14ac:dyDescent="0.3">
      <c r="A19" t="s">
        <v>52</v>
      </c>
      <c r="B19">
        <v>31</v>
      </c>
      <c r="C19">
        <v>1.4799</v>
      </c>
      <c r="D19" s="44">
        <v>5.4442043999999994</v>
      </c>
    </row>
    <row r="20" spans="1:8" x14ac:dyDescent="0.3">
      <c r="A20" t="s">
        <v>53</v>
      </c>
      <c r="B20">
        <v>30</v>
      </c>
      <c r="C20">
        <v>1.4799</v>
      </c>
      <c r="D20" s="44">
        <v>5.4442043999999994</v>
      </c>
    </row>
    <row r="21" spans="1:8" x14ac:dyDescent="0.3">
      <c r="A21" t="s">
        <v>54</v>
      </c>
      <c r="B21">
        <v>31</v>
      </c>
      <c r="C21">
        <v>1.4799</v>
      </c>
      <c r="D21" s="5">
        <v>5.4442043999999994</v>
      </c>
    </row>
    <row r="22" spans="1:8" x14ac:dyDescent="0.3">
      <c r="A22" t="s">
        <v>55</v>
      </c>
      <c r="B22">
        <v>30</v>
      </c>
      <c r="C22">
        <v>1.4799</v>
      </c>
      <c r="D22" s="5">
        <v>5.4442043999999994</v>
      </c>
    </row>
    <row r="23" spans="1:8" x14ac:dyDescent="0.3">
      <c r="A23" t="s">
        <v>56</v>
      </c>
      <c r="B23">
        <v>29</v>
      </c>
      <c r="C23">
        <v>1.4799</v>
      </c>
      <c r="D23" s="5">
        <v>5.4442043999999994</v>
      </c>
    </row>
    <row r="24" spans="1:8" x14ac:dyDescent="0.3">
      <c r="A24" t="s">
        <v>57</v>
      </c>
      <c r="B24">
        <v>92</v>
      </c>
      <c r="C24">
        <v>1.3794999999999999</v>
      </c>
      <c r="D24" s="44">
        <v>5.4442043999999994</v>
      </c>
      <c r="G24" s="4"/>
      <c r="H24" s="4"/>
    </row>
    <row r="25" spans="1:8" x14ac:dyDescent="0.3">
      <c r="A25" t="s">
        <v>58</v>
      </c>
      <c r="B25">
        <v>91</v>
      </c>
      <c r="C25">
        <v>1.3794999999999999</v>
      </c>
      <c r="D25" s="5">
        <v>5.4442043999999994</v>
      </c>
    </row>
    <row r="26" spans="1:8" x14ac:dyDescent="0.3">
      <c r="A26" t="s">
        <v>59</v>
      </c>
      <c r="B26">
        <v>91</v>
      </c>
      <c r="C26">
        <v>1.3794999999999999</v>
      </c>
      <c r="D26" s="5">
        <v>5.4442043999999994</v>
      </c>
    </row>
    <row r="27" spans="1:8" x14ac:dyDescent="0.3">
      <c r="A27" t="s">
        <v>60</v>
      </c>
      <c r="B27">
        <v>92</v>
      </c>
      <c r="C27">
        <v>1.3794999999999999</v>
      </c>
      <c r="D27" s="5">
        <v>5.4442043999999994</v>
      </c>
    </row>
    <row r="28" spans="1:8" x14ac:dyDescent="0.3">
      <c r="A28" t="s">
        <v>61</v>
      </c>
      <c r="B28">
        <v>366</v>
      </c>
      <c r="C28">
        <v>1</v>
      </c>
      <c r="D28" s="45">
        <f>D18*(92/365)+D17*(274/366)</f>
        <v>5.4479536836649451</v>
      </c>
    </row>
    <row r="30" spans="1:8" x14ac:dyDescent="0.3">
      <c r="A30" s="1"/>
      <c r="B30" s="1"/>
      <c r="C30" s="1"/>
      <c r="D30" s="1"/>
    </row>
    <row r="32" spans="1:8" x14ac:dyDescent="0.3">
      <c r="D32" s="5"/>
    </row>
    <row r="33" spans="4:4" x14ac:dyDescent="0.3">
      <c r="D33" s="5"/>
    </row>
    <row r="34" spans="4:4" x14ac:dyDescent="0.3">
      <c r="D34" s="5"/>
    </row>
    <row r="35" spans="4:4" x14ac:dyDescent="0.3">
      <c r="D35" s="5"/>
    </row>
    <row r="36" spans="4:4" x14ac:dyDescent="0.3">
      <c r="D36" s="5"/>
    </row>
    <row r="37" spans="4:4" x14ac:dyDescent="0.3">
      <c r="D37" s="5"/>
    </row>
    <row r="38" spans="4:4" x14ac:dyDescent="0.3">
      <c r="D38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CD67-C9A7-4436-A189-90576E321DA1}">
  <dimension ref="A1:D15"/>
  <sheetViews>
    <sheetView workbookViewId="0">
      <selection activeCell="A9" sqref="A9"/>
    </sheetView>
  </sheetViews>
  <sheetFormatPr defaultRowHeight="14.4" x14ac:dyDescent="0.3"/>
  <cols>
    <col min="1" max="1" width="89.44140625" customWidth="1"/>
    <col min="2" max="2" width="12.33203125" customWidth="1"/>
    <col min="3" max="3" width="23.6640625" customWidth="1"/>
    <col min="4" max="4" width="10.5546875" bestFit="1" customWidth="1"/>
    <col min="5" max="5" width="10.88671875" customWidth="1"/>
  </cols>
  <sheetData>
    <row r="1" spans="1:4" x14ac:dyDescent="0.3">
      <c r="A1" s="1" t="s">
        <v>66</v>
      </c>
      <c r="B1" s="1" t="s">
        <v>67</v>
      </c>
      <c r="C1" s="1" t="s">
        <v>6</v>
      </c>
    </row>
    <row r="2" spans="1:4" x14ac:dyDescent="0.3">
      <c r="A2" t="s">
        <v>17</v>
      </c>
      <c r="B2" s="49">
        <v>366</v>
      </c>
      <c r="C2" s="49">
        <v>1</v>
      </c>
      <c r="D2" s="4"/>
    </row>
    <row r="3" spans="1:4" x14ac:dyDescent="0.3">
      <c r="A3" t="s">
        <v>51</v>
      </c>
      <c r="B3" s="49">
        <v>365</v>
      </c>
      <c r="C3" s="49">
        <v>1</v>
      </c>
      <c r="D3" s="4"/>
    </row>
    <row r="4" spans="1:4" x14ac:dyDescent="0.3">
      <c r="A4" t="s">
        <v>52</v>
      </c>
      <c r="B4" s="49">
        <v>365</v>
      </c>
      <c r="C4" s="49">
        <v>31</v>
      </c>
      <c r="D4" s="4"/>
    </row>
    <row r="5" spans="1:4" x14ac:dyDescent="0.3">
      <c r="A5" t="s">
        <v>53</v>
      </c>
      <c r="B5" s="49">
        <v>365</v>
      </c>
      <c r="C5" s="49">
        <v>30</v>
      </c>
      <c r="D5" s="4"/>
    </row>
    <row r="6" spans="1:4" x14ac:dyDescent="0.3">
      <c r="A6" t="s">
        <v>54</v>
      </c>
      <c r="B6" s="49">
        <v>366</v>
      </c>
      <c r="C6" s="49">
        <v>31</v>
      </c>
      <c r="D6" s="4"/>
    </row>
    <row r="7" spans="1:4" x14ac:dyDescent="0.3">
      <c r="A7" t="s">
        <v>55</v>
      </c>
      <c r="B7" s="49">
        <v>366</v>
      </c>
      <c r="C7" s="49">
        <v>30</v>
      </c>
      <c r="D7" s="4"/>
    </row>
    <row r="8" spans="1:4" x14ac:dyDescent="0.3">
      <c r="A8" t="s">
        <v>56</v>
      </c>
      <c r="B8" s="49">
        <v>366</v>
      </c>
      <c r="C8" s="49">
        <v>29</v>
      </c>
      <c r="D8" s="4"/>
    </row>
    <row r="9" spans="1:4" x14ac:dyDescent="0.3">
      <c r="A9" t="s">
        <v>57</v>
      </c>
      <c r="B9" s="49">
        <v>365</v>
      </c>
      <c r="C9" s="49">
        <v>92</v>
      </c>
    </row>
    <row r="10" spans="1:4" x14ac:dyDescent="0.3">
      <c r="A10" t="s">
        <v>58</v>
      </c>
      <c r="B10" s="49">
        <v>366</v>
      </c>
      <c r="C10" s="49">
        <v>91</v>
      </c>
      <c r="D10" s="4"/>
    </row>
    <row r="11" spans="1:4" x14ac:dyDescent="0.3">
      <c r="A11" t="s">
        <v>59</v>
      </c>
      <c r="B11" s="49">
        <v>366</v>
      </c>
      <c r="C11" s="49">
        <v>91</v>
      </c>
    </row>
    <row r="12" spans="1:4" x14ac:dyDescent="0.3">
      <c r="A12" t="s">
        <v>60</v>
      </c>
      <c r="B12" s="49">
        <v>366</v>
      </c>
      <c r="C12" s="49">
        <v>92</v>
      </c>
    </row>
    <row r="13" spans="1:4" x14ac:dyDescent="0.3">
      <c r="A13" t="s">
        <v>61</v>
      </c>
      <c r="B13" s="49">
        <v>366</v>
      </c>
      <c r="C13" s="49">
        <v>366</v>
      </c>
    </row>
    <row r="15" spans="1:4" x14ac:dyDescent="0.3">
      <c r="A15" s="1"/>
      <c r="B15" s="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1" ma:contentTypeDescription="Δημιουργία νέου εγγράφου" ma:contentTypeScope="" ma:versionID="30859f8906a39d4ba9aa2d5a8118ebd9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0f7f71d25fd5e5a9b1466d67f326d69d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C8D0D6-3AA2-49D6-B460-8DD347C13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7727E7-F919-4F80-8B49-8635D66914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A5806C-A52F-4E68-A5F7-AA2AE231DBEE}">
  <ds:schemaRefs>
    <ds:schemaRef ds:uri="http://schemas.microsoft.com/office/2006/documentManagement/types"/>
    <ds:schemaRef ds:uri="http://purl.org/dc/dcmitype/"/>
    <ds:schemaRef ds:uri="http://purl.org/dc/elements/1.1/"/>
    <ds:schemaRef ds:uri="738f5970-3b6b-4745-befa-d5e656e6027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b171296-ac32-47c7-8b85-8384cb4f8c6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Capacity Products</vt:lpstr>
      <vt:lpstr>IPs</vt:lpstr>
      <vt:lpstr>Type of Product</vt:lpstr>
      <vt:lpstr>B-SDM_ENTRY</vt:lpstr>
      <vt:lpstr>B-SDM_EXIT</vt:lpstr>
      <vt:lpstr> Days</vt:lpstr>
      <vt:lpstr>ENTRY__TAP→DESFA</vt:lpstr>
      <vt:lpstr>Route_IPs</vt:lpstr>
      <vt:lpstr>ΕΧΙΤ__DESFA→TAP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Μίζη Μαριάννα</dc:creator>
  <cp:keywords/>
  <dc:description/>
  <cp:lastModifiedBy>Grigorios Chalastanis</cp:lastModifiedBy>
  <cp:revision/>
  <dcterms:created xsi:type="dcterms:W3CDTF">2019-12-09T09:58:15Z</dcterms:created>
  <dcterms:modified xsi:type="dcterms:W3CDTF">2023-08-08T12:26:13Z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e2555d98-6056-43bf-a484-3b5776031a7d</vt:lpwstr>
  </property>
  <property fmtid="{D5CDD505-2E9C-101B-9397-08002B2CF9AE}" pid="3" name="ContentTypeId">
    <vt:lpwstr>0x01010019B1F8822A23F54CAD78CE952611610C</vt:lpwstr>
  </property>
  <property fmtid="{D5CDD505-2E9C-101B-9397-08002B2CF9AE}" pid="4" name="CofWorkbookId">
    <vt:lpwstr>180dbaf6-7fe0-41d9-9141-060ed8a22331</vt:lpwstr>
  </property>
  <property fmtid="{D5CDD505-2E9C-101B-9397-08002B2CF9AE}" pid="5" name="MediaServiceImageTags">
    <vt:lpwstr/>
  </property>
</Properties>
</file>