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.kikidis.DESFACLOUD\Downloads\"/>
    </mc:Choice>
  </mc:AlternateContent>
  <xr:revisionPtr revIDLastSave="0" documentId="13_ncr:1_{69AF97FF-07C8-469A-A8DE-ABC6E4579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ge Calculations" sheetId="1" r:id="rId1"/>
    <sheet name="Sheet2" sheetId="2" state="hidden" r:id="rId2"/>
    <sheet name="Sheet3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G9" i="1"/>
  <c r="N5" i="1" l="1"/>
  <c r="N6" i="1"/>
  <c r="F3" i="1"/>
  <c r="N3" i="1" l="1"/>
  <c r="C3" i="1"/>
  <c r="G6" i="1"/>
  <c r="H6" i="1" l="1"/>
  <c r="O6" i="1" s="1"/>
  <c r="N10" i="2"/>
  <c r="N2" i="2"/>
  <c r="J9" i="1" l="1"/>
  <c r="K9" i="1" s="1"/>
  <c r="F2" i="3"/>
  <c r="F3" i="3"/>
  <c r="G3" i="1"/>
  <c r="H3" i="1" s="1"/>
  <c r="O3" i="1" s="1"/>
  <c r="N4" i="2"/>
  <c r="N6" i="2"/>
  <c r="N8" i="2"/>
  <c r="L3" i="1" l="1"/>
  <c r="G5" i="1"/>
  <c r="H5" i="1" s="1"/>
  <c r="L6" i="1" l="1"/>
  <c r="F2" i="2"/>
  <c r="L5" i="1" l="1"/>
  <c r="L7" i="1" s="1"/>
  <c r="O5" i="1"/>
  <c r="O7" i="1" s="1"/>
  <c r="C9" i="1"/>
  <c r="H9" i="1" s="1"/>
  <c r="L9" i="1" l="1"/>
  <c r="O9" i="1"/>
</calcChain>
</file>

<file path=xl/sharedStrings.xml><?xml version="1.0" encoding="utf-8"?>
<sst xmlns="http://schemas.openxmlformats.org/spreadsheetml/2006/main" count="71" uniqueCount="54">
  <si>
    <t>Calendar Year 2022</t>
  </si>
  <si>
    <t xml:space="preserve">Entry Points* </t>
  </si>
  <si>
    <t>Capacity Coefficients
SDM/SDY 
[€/kWh GCV /Hour/Year]</t>
  </si>
  <si>
    <t>Transmission 
Capacity 
[kWh/Day]</t>
  </si>
  <si>
    <t>Standard Capacity Product **</t>
  </si>
  <si>
    <t>Days</t>
  </si>
  <si>
    <t>Short-Term (B) 
Coefficient</t>
  </si>
  <si>
    <t>Capacity 
Charges</t>
  </si>
  <si>
    <t>Commodity (Quantity) 
Charges</t>
  </si>
  <si>
    <t xml:space="preserve">Total Charges </t>
  </si>
  <si>
    <t>Guarantee Percentage</t>
  </si>
  <si>
    <t>Guarantee Amount</t>
  </si>
  <si>
    <r>
      <t>ENTRY IP SIDIROKASTRO (BG</t>
    </r>
    <r>
      <rPr>
        <b/>
        <sz val="12"/>
        <rFont val="Calibri"/>
        <family val="2"/>
        <charset val="161"/>
      </rPr>
      <t>→GR)</t>
    </r>
    <r>
      <rPr>
        <b/>
        <sz val="12"/>
        <rFont val="Calibri"/>
        <family val="2"/>
        <charset val="161"/>
        <scheme val="minor"/>
      </rPr>
      <t xml:space="preserve">
EXIT IP SIDIROKASTRO   (GR→BG)
ENTRY IP KIPI (TR→GR)
ENTRY IP NEA MESIMVRIA (TAP→DESFA)</t>
    </r>
  </si>
  <si>
    <t>D (Daily Product 2022)</t>
  </si>
  <si>
    <t>Quantity Charges Not Applied</t>
  </si>
  <si>
    <t>Bundled Product</t>
  </si>
  <si>
    <t>Entry Points</t>
  </si>
  <si>
    <t>Capacity/Regasification Coefficients
SDM/SDY 
[€/kWh GCV /Hour/Year]</t>
  </si>
  <si>
    <t>Transmission /Regasification
Capacity 
[kWh/Day]</t>
  </si>
  <si>
    <t>Booking Period (Days)</t>
  </si>
  <si>
    <t xml:space="preserve">ENTRY AGIA TRIADA 
(LNG Entry to Transmission System)
</t>
  </si>
  <si>
    <t xml:space="preserve">
LNG TERMINAL 
(LNG Regasification Capacity)
</t>
  </si>
  <si>
    <t>Total Guarantee of the Bundled Product</t>
  </si>
  <si>
    <t>Domestic Exit Points</t>
  </si>
  <si>
    <t>Capacity Coefficients 
[€/kWh GCV /Hour/Year]</t>
  </si>
  <si>
    <t>Quantity 
Coefficient 
[€/kWh]</t>
  </si>
  <si>
    <t>Total Quantity 
[kWh]</t>
  </si>
  <si>
    <t xml:space="preserve">Commodity (Quantity)
Charges </t>
  </si>
  <si>
    <t>North Zone</t>
  </si>
  <si>
    <t>Select from the scroll bar or fill numbers in green cells</t>
  </si>
  <si>
    <t>Product</t>
  </si>
  <si>
    <t>DAYS</t>
  </si>
  <si>
    <t>B Coefficient</t>
  </si>
  <si>
    <t>SDM</t>
  </si>
  <si>
    <t>D (Daily Product 2021)</t>
  </si>
  <si>
    <t>Q1</t>
  </si>
  <si>
    <t>M (Monthly product for 31 Days - October, December 2021)</t>
  </si>
  <si>
    <t>Q2</t>
  </si>
  <si>
    <t>M (Monthly product for 31 Days - January, March, May, July, August, October, December 2022)</t>
  </si>
  <si>
    <t>M (Monthly product for 30 Days - November 2021)</t>
  </si>
  <si>
    <t>Q3</t>
  </si>
  <si>
    <t>M (Monthly product for 30 Days - April, June, September, November 2022)</t>
  </si>
  <si>
    <t>M (Monthly Product February 2022: 28 Days)</t>
  </si>
  <si>
    <t>Q4</t>
  </si>
  <si>
    <t>Q1 for GY21/22 (Quarterly product for Oct,Nov,Dec 2021)</t>
  </si>
  <si>
    <t>Q2 for GY21/22 (Quarterly product for Jan, Feb, Mar 2022)</t>
  </si>
  <si>
    <t>Y</t>
  </si>
  <si>
    <t>Q3 for GY21/22 (Quarterly product for Apr, May, Jun 2022)</t>
  </si>
  <si>
    <t>Q4 for GY21/22 (Quarterly product for Jul, Aug, Sep 2022)</t>
  </si>
  <si>
    <t>Y (Yearly Product 1/10/2021-30/09/2022)</t>
  </si>
  <si>
    <t>Exit Zone</t>
  </si>
  <si>
    <t>Total Capacity Coefficients 
[€/kWh GCV /Hour/Year]</t>
  </si>
  <si>
    <t>South Zone</t>
  </si>
  <si>
    <r>
      <t xml:space="preserve">Comments:     </t>
    </r>
    <r>
      <rPr>
        <sz val="20"/>
        <color theme="1"/>
        <rFont val="Calibri"/>
        <family val="2"/>
        <charset val="161"/>
        <scheme val="minor"/>
      </rPr>
      <t>* Interruptible Capacity is offered at a discount 
                      ** Conditional (bFZK) Capacity is offered in the direction TAP→DESFA &amp; TR → GR at a discount of 10%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</si>
</sst>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_ ;\-#,##0\ "/>
    <numFmt numFmtId="165" formatCode="0.00000000"/>
    <numFmt numFmtId="166" formatCode="#,##0.0000000_ ;\-#,##0.0000000\ "/>
  </numFmts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0" tint="-4.9989318521683403E-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</font>
    <font>
      <b/>
      <sz val="28"/>
      <color theme="9" tint="-0.49998474074526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>
        <fgColor rgb="FFFF0000"/>
        <bgColor theme="0" tint="-0.14999847407452621"/>
      </patternFill>
    </fill>
    <fill>
      <patternFill patternType="gray0625">
        <fgColor rgb="FFFF0000"/>
      </patternFill>
    </fill>
    <fill>
      <patternFill patternType="gray0625">
        <fgColor rgb="FFFF0000"/>
        <bgColor theme="9" tint="0.39997558519241921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gray125">
        <fgColor theme="5" tint="-0.24994659260841701"/>
        <bgColor theme="0" tint="-0.14993743705557422"/>
      </patternFill>
    </fill>
    <fill>
      <gradientFill degree="13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0" fillId="0" borderId="0" xfId="0" applyNumberFormat="1"/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4" borderId="19" xfId="0" applyFont="1" applyFill="1" applyBorder="1" applyAlignment="1" applyProtection="1">
      <alignment horizontal="center" vertical="center" wrapText="1"/>
      <protection locked="0" hidden="1"/>
    </xf>
    <xf numFmtId="0" fontId="4" fillId="4" borderId="19" xfId="0" applyFont="1" applyFill="1" applyBorder="1" applyAlignment="1" applyProtection="1">
      <alignment horizontal="center" vertical="center"/>
      <protection locked="0" hidden="1"/>
    </xf>
    <xf numFmtId="0" fontId="4" fillId="4" borderId="33" xfId="0" applyFont="1" applyFill="1" applyBorder="1" applyAlignment="1" applyProtection="1">
      <alignment horizontal="center" vertical="center"/>
      <protection locked="0" hidden="1"/>
    </xf>
    <xf numFmtId="0" fontId="4" fillId="4" borderId="36" xfId="0" applyFont="1" applyFill="1" applyBorder="1" applyAlignment="1" applyProtection="1">
      <alignment horizontal="center" vertical="center"/>
      <protection locked="0" hidden="1"/>
    </xf>
    <xf numFmtId="3" fontId="4" fillId="5" borderId="2" xfId="0" applyNumberFormat="1" applyFont="1" applyFill="1" applyBorder="1" applyAlignment="1" applyProtection="1">
      <alignment horizontal="center" vertical="center"/>
      <protection locked="0" hidden="1"/>
    </xf>
    <xf numFmtId="3" fontId="4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6" fillId="4" borderId="17" xfId="0" applyFont="1" applyFill="1" applyBorder="1" applyAlignment="1" applyProtection="1">
      <alignment horizontal="center" vertical="center" wrapText="1"/>
      <protection locked="0" hidden="1"/>
    </xf>
    <xf numFmtId="0" fontId="4" fillId="4" borderId="18" xfId="0" applyFont="1" applyFill="1" applyBorder="1" applyAlignment="1" applyProtection="1">
      <alignment horizontal="center" vertical="center" wrapText="1"/>
      <protection locked="0" hidden="1"/>
    </xf>
    <xf numFmtId="0" fontId="4" fillId="4" borderId="23" xfId="0" applyFont="1" applyFill="1" applyBorder="1" applyAlignment="1" applyProtection="1">
      <alignment horizontal="center" vertical="center"/>
      <protection locked="0" hidden="1"/>
    </xf>
    <xf numFmtId="0" fontId="4" fillId="6" borderId="24" xfId="0" applyFont="1" applyFill="1" applyBorder="1" applyAlignment="1" applyProtection="1">
      <alignment horizontal="center" wrapText="1"/>
      <protection locked="0" hidden="1"/>
    </xf>
    <xf numFmtId="44" fontId="4" fillId="7" borderId="25" xfId="0" applyNumberFormat="1" applyFont="1" applyFill="1" applyBorder="1" applyAlignment="1" applyProtection="1">
      <alignment horizontal="center" vertical="center"/>
      <protection locked="0" hidden="1"/>
    </xf>
    <xf numFmtId="0" fontId="4" fillId="6" borderId="26" xfId="0" applyFont="1" applyFill="1" applyBorder="1" applyAlignment="1" applyProtection="1">
      <alignment horizontal="center" vertical="center" wrapText="1"/>
      <protection locked="0" hidden="1"/>
    </xf>
    <xf numFmtId="44" fontId="4" fillId="7" borderId="30" xfId="0" applyNumberFormat="1" applyFont="1" applyFill="1" applyBorder="1" applyAlignment="1" applyProtection="1">
      <alignment horizontal="center" vertical="center"/>
      <protection locked="0" hidden="1"/>
    </xf>
    <xf numFmtId="0" fontId="4" fillId="11" borderId="9" xfId="0" applyFont="1" applyFill="1" applyBorder="1" applyAlignment="1" applyProtection="1">
      <alignment vertical="center" wrapText="1"/>
      <protection locked="0" hidden="1"/>
    </xf>
    <xf numFmtId="0" fontId="4" fillId="13" borderId="9" xfId="0" applyFont="1" applyFill="1" applyBorder="1" applyAlignment="1" applyProtection="1">
      <alignment vertical="center" wrapText="1"/>
      <protection locked="0" hidden="1"/>
    </xf>
    <xf numFmtId="0" fontId="4" fillId="13" borderId="10" xfId="0" applyFont="1" applyFill="1" applyBorder="1" applyAlignment="1" applyProtection="1">
      <alignment vertical="center" wrapText="1"/>
      <protection locked="0" hidden="1"/>
    </xf>
    <xf numFmtId="44" fontId="8" fillId="13" borderId="10" xfId="0" applyNumberFormat="1" applyFont="1" applyFill="1" applyBorder="1" applyAlignment="1" applyProtection="1">
      <alignment vertical="center"/>
      <protection locked="0" hidden="1"/>
    </xf>
    <xf numFmtId="0" fontId="5" fillId="13" borderId="42" xfId="0" applyFont="1" applyFill="1" applyBorder="1" applyProtection="1">
      <protection locked="0" hidden="1"/>
    </xf>
    <xf numFmtId="0" fontId="4" fillId="0" borderId="27" xfId="0" applyFont="1" applyBorder="1" applyAlignment="1" applyProtection="1">
      <alignment horizontal="center" vertical="center"/>
      <protection locked="0" hidden="1"/>
    </xf>
    <xf numFmtId="3" fontId="4" fillId="5" borderId="27" xfId="0" applyNumberFormat="1" applyFont="1" applyFill="1" applyBorder="1" applyAlignment="1" applyProtection="1">
      <alignment horizontal="center" vertical="center"/>
      <protection locked="0" hidden="1"/>
    </xf>
    <xf numFmtId="44" fontId="4" fillId="0" borderId="27" xfId="0" applyNumberFormat="1" applyFont="1" applyBorder="1" applyAlignment="1" applyProtection="1">
      <alignment horizontal="center" vertical="center"/>
      <protection locked="0" hidden="1"/>
    </xf>
    <xf numFmtId="3" fontId="4" fillId="0" borderId="27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166" fontId="4" fillId="0" borderId="2" xfId="0" applyNumberFormat="1" applyFont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27" xfId="0" applyFont="1" applyFill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64" fontId="4" fillId="0" borderId="2" xfId="0" applyNumberFormat="1" applyFont="1" applyBorder="1" applyAlignment="1" applyProtection="1">
      <alignment horizontal="center" vertical="center"/>
      <protection hidden="1"/>
    </xf>
    <xf numFmtId="44" fontId="4" fillId="0" borderId="2" xfId="0" applyNumberFormat="1" applyFont="1" applyBorder="1" applyAlignment="1" applyProtection="1">
      <alignment horizontal="center" vertical="center"/>
      <protection hidden="1"/>
    </xf>
    <xf numFmtId="9" fontId="4" fillId="0" borderId="2" xfId="0" quotePrefix="1" applyNumberFormat="1" applyFont="1" applyBorder="1" applyAlignment="1" applyProtection="1">
      <alignment horizontal="center" vertical="center"/>
      <protection hidden="1"/>
    </xf>
    <xf numFmtId="44" fontId="8" fillId="0" borderId="2" xfId="0" applyNumberFormat="1" applyFont="1" applyBorder="1" applyAlignment="1" applyProtection="1">
      <alignment horizontal="center" vertical="center"/>
      <protection hidden="1"/>
    </xf>
    <xf numFmtId="44" fontId="8" fillId="7" borderId="1" xfId="0" applyNumberFormat="1" applyFont="1" applyFill="1" applyBorder="1" applyAlignment="1" applyProtection="1">
      <alignment horizontal="center" vertical="center"/>
      <protection hidden="1"/>
    </xf>
    <xf numFmtId="10" fontId="4" fillId="7" borderId="24" xfId="0" applyNumberFormat="1" applyFont="1" applyFill="1" applyBorder="1" applyAlignment="1" applyProtection="1">
      <alignment horizontal="center" vertical="center"/>
      <protection hidden="1"/>
    </xf>
    <xf numFmtId="44" fontId="4" fillId="7" borderId="1" xfId="0" applyNumberFormat="1" applyFont="1" applyFill="1" applyBorder="1" applyAlignment="1" applyProtection="1">
      <alignment horizontal="center" vertical="center"/>
      <protection hidden="1"/>
    </xf>
    <xf numFmtId="44" fontId="4" fillId="7" borderId="27" xfId="0" applyNumberFormat="1" applyFont="1" applyFill="1" applyBorder="1" applyAlignment="1" applyProtection="1">
      <alignment horizontal="center" vertical="center"/>
      <protection hidden="1"/>
    </xf>
    <xf numFmtId="9" fontId="4" fillId="7" borderId="26" xfId="0" applyNumberFormat="1" applyFont="1" applyFill="1" applyBorder="1" applyAlignment="1" applyProtection="1">
      <alignment horizontal="center" vertical="center"/>
      <protection hidden="1"/>
    </xf>
    <xf numFmtId="44" fontId="8" fillId="7" borderId="27" xfId="0" applyNumberFormat="1" applyFont="1" applyFill="1" applyBorder="1" applyAlignment="1" applyProtection="1">
      <alignment horizontal="center" vertical="center"/>
      <protection hidden="1"/>
    </xf>
    <xf numFmtId="44" fontId="10" fillId="7" borderId="37" xfId="0" applyNumberFormat="1" applyFont="1" applyFill="1" applyBorder="1" applyAlignment="1" applyProtection="1">
      <alignment horizontal="center" vertical="center"/>
      <protection hidden="1"/>
    </xf>
    <xf numFmtId="44" fontId="8" fillId="0" borderId="27" xfId="0" applyNumberFormat="1" applyFont="1" applyBorder="1" applyAlignment="1" applyProtection="1">
      <alignment horizontal="center" vertical="center"/>
      <protection hidden="1"/>
    </xf>
    <xf numFmtId="10" fontId="4" fillId="0" borderId="27" xfId="0" applyNumberFormat="1" applyFont="1" applyBorder="1" applyAlignment="1" applyProtection="1">
      <alignment horizontal="center" vertical="center"/>
      <protection hidden="1"/>
    </xf>
    <xf numFmtId="44" fontId="4" fillId="0" borderId="27" xfId="0" applyNumberFormat="1" applyFont="1" applyBorder="1" applyAlignment="1" applyProtection="1">
      <alignment horizontal="center" vertical="center"/>
      <protection hidden="1"/>
    </xf>
    <xf numFmtId="0" fontId="11" fillId="10" borderId="6" xfId="0" applyFont="1" applyFill="1" applyBorder="1" applyAlignment="1" applyProtection="1">
      <alignment horizontal="left" vertical="center" wrapText="1"/>
      <protection locked="0" hidden="1"/>
    </xf>
    <xf numFmtId="0" fontId="11" fillId="10" borderId="7" xfId="0" applyFont="1" applyFill="1" applyBorder="1" applyAlignment="1" applyProtection="1">
      <alignment horizontal="left" vertical="center" wrapText="1"/>
      <protection locked="0" hidden="1"/>
    </xf>
    <xf numFmtId="0" fontId="11" fillId="10" borderId="39" xfId="0" applyFont="1" applyFill="1" applyBorder="1" applyAlignment="1" applyProtection="1">
      <alignment horizontal="left" vertical="center" wrapText="1"/>
      <protection locked="0" hidden="1"/>
    </xf>
    <xf numFmtId="0" fontId="0" fillId="0" borderId="31" xfId="0" applyBorder="1" applyAlignment="1" applyProtection="1">
      <alignment horizontal="center"/>
      <protection locked="0"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4" fillId="4" borderId="20" xfId="0" applyFont="1" applyFill="1" applyBorder="1" applyAlignment="1" applyProtection="1">
      <alignment horizontal="center" vertical="center"/>
      <protection locked="0" hidden="1"/>
    </xf>
    <xf numFmtId="0" fontId="4" fillId="4" borderId="33" xfId="0" applyFont="1" applyFill="1" applyBorder="1" applyAlignment="1" applyProtection="1">
      <alignment horizontal="center" vertical="center"/>
      <protection locked="0" hidden="1"/>
    </xf>
    <xf numFmtId="44" fontId="8" fillId="0" borderId="32" xfId="0" applyNumberFormat="1" applyFont="1" applyBorder="1" applyAlignment="1" applyProtection="1">
      <alignment horizontal="center" vertical="center"/>
      <protection locked="0" hidden="1"/>
    </xf>
    <xf numFmtId="44" fontId="8" fillId="0" borderId="34" xfId="0" applyNumberFormat="1" applyFont="1" applyBorder="1" applyAlignment="1" applyProtection="1">
      <alignment horizontal="center" vertical="center"/>
      <protection locked="0" hidden="1"/>
    </xf>
    <xf numFmtId="0" fontId="4" fillId="4" borderId="35" xfId="0" applyFont="1" applyFill="1" applyBorder="1" applyAlignment="1" applyProtection="1">
      <alignment horizontal="center" vertical="center" wrapText="1"/>
      <protection locked="0" hidden="1"/>
    </xf>
    <xf numFmtId="0" fontId="4" fillId="4" borderId="22" xfId="0" applyFont="1" applyFill="1" applyBorder="1" applyAlignment="1" applyProtection="1">
      <alignment horizontal="center" vertical="center" wrapText="1"/>
      <protection locked="0" hidden="1"/>
    </xf>
    <xf numFmtId="164" fontId="4" fillId="5" borderId="27" xfId="0" applyNumberFormat="1" applyFont="1" applyFill="1" applyBorder="1" applyAlignment="1" applyProtection="1">
      <alignment horizontal="center" vertical="center"/>
      <protection locked="0" hidden="1"/>
    </xf>
    <xf numFmtId="0" fontId="4" fillId="4" borderId="19" xfId="0" applyFont="1" applyFill="1" applyBorder="1" applyAlignment="1" applyProtection="1">
      <alignment horizontal="center" vertical="center"/>
      <protection locked="0" hidden="1"/>
    </xf>
    <xf numFmtId="0" fontId="7" fillId="9" borderId="6" xfId="0" applyFont="1" applyFill="1" applyBorder="1" applyAlignment="1" applyProtection="1">
      <alignment horizontal="center" vertical="center"/>
      <protection locked="0" hidden="1"/>
    </xf>
    <xf numFmtId="0" fontId="7" fillId="9" borderId="7" xfId="0" applyFont="1" applyFill="1" applyBorder="1" applyAlignment="1" applyProtection="1">
      <alignment horizontal="center" vertical="center"/>
      <protection locked="0" hidden="1"/>
    </xf>
    <xf numFmtId="0" fontId="7" fillId="9" borderId="39" xfId="0" applyFont="1" applyFill="1" applyBorder="1" applyAlignment="1" applyProtection="1">
      <alignment horizontal="center" vertical="center"/>
      <protection locked="0" hidden="1"/>
    </xf>
    <xf numFmtId="0" fontId="7" fillId="12" borderId="8" xfId="0" applyFont="1" applyFill="1" applyBorder="1" applyAlignment="1" applyProtection="1">
      <alignment horizontal="center" vertical="center"/>
      <protection locked="0" hidden="1"/>
    </xf>
    <xf numFmtId="0" fontId="7" fillId="12" borderId="9" xfId="0" applyFont="1" applyFill="1" applyBorder="1" applyAlignment="1" applyProtection="1">
      <alignment horizontal="center" vertical="center"/>
      <protection locked="0" hidden="1"/>
    </xf>
    <xf numFmtId="0" fontId="7" fillId="12" borderId="10" xfId="0" applyFont="1" applyFill="1" applyBorder="1" applyAlignment="1" applyProtection="1">
      <alignment horizontal="center" vertical="center"/>
      <protection locked="0" hidden="1"/>
    </xf>
    <xf numFmtId="0" fontId="4" fillId="4" borderId="20" xfId="0" applyFont="1" applyFill="1" applyBorder="1" applyAlignment="1" applyProtection="1">
      <alignment horizontal="center" vertical="center" wrapText="1"/>
      <protection locked="0" hidden="1"/>
    </xf>
    <xf numFmtId="0" fontId="4" fillId="4" borderId="21" xfId="0" applyFont="1" applyFill="1" applyBorder="1" applyAlignment="1" applyProtection="1">
      <alignment horizontal="center" vertical="center"/>
      <protection locked="0" hidden="1"/>
    </xf>
    <xf numFmtId="0" fontId="4" fillId="4" borderId="22" xfId="0" applyFont="1" applyFill="1" applyBorder="1" applyAlignment="1" applyProtection="1">
      <alignment horizontal="center" vertical="center"/>
      <protection locked="0" hidden="1"/>
    </xf>
    <xf numFmtId="0" fontId="8" fillId="6" borderId="4" xfId="0" applyFont="1" applyFill="1" applyBorder="1" applyAlignment="1" applyProtection="1">
      <alignment horizontal="center" vertical="center" textRotation="90" wrapText="1"/>
      <protection locked="0" hidden="1"/>
    </xf>
    <xf numFmtId="0" fontId="8" fillId="6" borderId="13" xfId="0" applyFont="1" applyFill="1" applyBorder="1" applyAlignment="1" applyProtection="1">
      <alignment horizontal="center" vertical="center" textRotation="90" wrapText="1"/>
      <protection locked="0" hidden="1"/>
    </xf>
    <xf numFmtId="0" fontId="8" fillId="6" borderId="5" xfId="0" applyFont="1" applyFill="1" applyBorder="1" applyAlignment="1" applyProtection="1">
      <alignment horizontal="center" vertical="center" textRotation="90" wrapText="1"/>
      <protection locked="0" hidden="1"/>
    </xf>
    <xf numFmtId="0" fontId="4" fillId="4" borderId="26" xfId="0" applyFont="1" applyFill="1" applyBorder="1" applyAlignment="1" applyProtection="1">
      <alignment horizontal="center" vertical="center" wrapText="1"/>
      <protection locked="0" hidden="1"/>
    </xf>
    <xf numFmtId="0" fontId="4" fillId="4" borderId="27" xfId="0" applyFont="1" applyFill="1" applyBorder="1" applyAlignment="1" applyProtection="1">
      <alignment horizontal="center" vertical="center" wrapText="1"/>
      <protection locked="0" hidden="1"/>
    </xf>
    <xf numFmtId="0" fontId="4" fillId="4" borderId="14" xfId="0" applyFont="1" applyFill="1" applyBorder="1" applyAlignment="1" applyProtection="1">
      <alignment horizontal="center" vertical="center"/>
      <protection locked="0" hidden="1"/>
    </xf>
    <xf numFmtId="0" fontId="4" fillId="4" borderId="15" xfId="0" applyFont="1" applyFill="1" applyBorder="1" applyAlignment="1" applyProtection="1">
      <alignment horizontal="center" vertical="center"/>
      <protection locked="0" hidden="1"/>
    </xf>
    <xf numFmtId="0" fontId="4" fillId="4" borderId="12" xfId="0" applyFont="1" applyFill="1" applyBorder="1" applyAlignment="1" applyProtection="1">
      <alignment horizontal="center" vertical="center"/>
      <protection locked="0" hidden="1"/>
    </xf>
    <xf numFmtId="0" fontId="8" fillId="11" borderId="8" xfId="0" applyFont="1" applyFill="1" applyBorder="1" applyAlignment="1" applyProtection="1">
      <alignment horizontal="center" vertical="center" wrapText="1"/>
      <protection locked="0" hidden="1"/>
    </xf>
    <xf numFmtId="0" fontId="8" fillId="11" borderId="9" xfId="0" applyFont="1" applyFill="1" applyBorder="1" applyAlignment="1" applyProtection="1">
      <alignment horizontal="center" vertical="center" wrapText="1"/>
      <protection locked="0" hidden="1"/>
    </xf>
    <xf numFmtId="164" fontId="4" fillId="8" borderId="6" xfId="0" applyNumberFormat="1" applyFont="1" applyFill="1" applyBorder="1" applyAlignment="1" applyProtection="1">
      <alignment horizontal="center" vertical="center"/>
      <protection locked="0" hidden="1"/>
    </xf>
    <xf numFmtId="164" fontId="4" fillId="8" borderId="39" xfId="0" applyNumberFormat="1" applyFont="1" applyFill="1" applyBorder="1" applyAlignment="1" applyProtection="1">
      <alignment horizontal="center" vertical="center"/>
      <protection locked="0" hidden="1"/>
    </xf>
    <xf numFmtId="164" fontId="4" fillId="8" borderId="28" xfId="0" applyNumberFormat="1" applyFont="1" applyFill="1" applyBorder="1" applyAlignment="1" applyProtection="1">
      <alignment horizontal="center" vertical="center"/>
      <protection locked="0" hidden="1"/>
    </xf>
    <xf numFmtId="164" fontId="4" fillId="8" borderId="29" xfId="0" applyNumberFormat="1" applyFont="1" applyFill="1" applyBorder="1" applyAlignment="1" applyProtection="1">
      <alignment horizontal="center" vertical="center"/>
      <protection locked="0" hidden="1"/>
    </xf>
    <xf numFmtId="0" fontId="8" fillId="6" borderId="40" xfId="0" applyFont="1" applyFill="1" applyBorder="1" applyAlignment="1" applyProtection="1">
      <alignment horizontal="center" vertical="center" textRotation="90" wrapText="1"/>
      <protection locked="0" hidden="1"/>
    </xf>
    <xf numFmtId="0" fontId="8" fillId="6" borderId="38" xfId="0" applyFont="1" applyFill="1" applyBorder="1" applyAlignment="1" applyProtection="1">
      <alignment horizontal="center" vertical="center" textRotation="90" wrapText="1"/>
      <protection locked="0" hidden="1"/>
    </xf>
    <xf numFmtId="0" fontId="8" fillId="6" borderId="41" xfId="0" applyFont="1" applyFill="1" applyBorder="1" applyAlignment="1" applyProtection="1">
      <alignment horizontal="center" vertical="center" textRotation="90" wrapText="1"/>
      <protection locked="0" hidden="1"/>
    </xf>
    <xf numFmtId="0" fontId="4" fillId="4" borderId="21" xfId="0" applyFont="1" applyFill="1" applyBorder="1" applyAlignment="1" applyProtection="1">
      <alignment horizontal="center" vertical="center" wrapText="1"/>
      <protection locked="0" hidden="1"/>
    </xf>
    <xf numFmtId="0" fontId="4" fillId="6" borderId="14" xfId="0" applyFont="1" applyFill="1" applyBorder="1" applyAlignment="1" applyProtection="1">
      <alignment horizontal="center" vertical="center"/>
      <protection locked="0" hidden="1"/>
    </xf>
    <xf numFmtId="0" fontId="4" fillId="6" borderId="15" xfId="0" applyFont="1" applyFill="1" applyBorder="1" applyAlignment="1" applyProtection="1">
      <alignment horizontal="center" vertical="center"/>
      <protection locked="0" hidden="1"/>
    </xf>
    <xf numFmtId="0" fontId="4" fillId="6" borderId="12" xfId="0" applyFont="1" applyFill="1" applyBorder="1" applyAlignment="1" applyProtection="1">
      <alignment horizontal="center" vertical="center"/>
      <protection locked="0" hidden="1"/>
    </xf>
    <xf numFmtId="0" fontId="4" fillId="6" borderId="28" xfId="0" applyFont="1" applyFill="1" applyBorder="1" applyAlignment="1" applyProtection="1">
      <alignment horizontal="center" vertical="center"/>
      <protection locked="0" hidden="1"/>
    </xf>
    <xf numFmtId="0" fontId="4" fillId="6" borderId="11" xfId="0" applyFont="1" applyFill="1" applyBorder="1" applyAlignment="1" applyProtection="1">
      <alignment horizontal="center" vertical="center"/>
      <protection locked="0" hidden="1"/>
    </xf>
    <xf numFmtId="0" fontId="4" fillId="6" borderId="29" xfId="0" applyFont="1" applyFill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9951"/>
      <color rgb="FF21A340"/>
      <color rgb="FF1C882E"/>
      <color rgb="FFD5E462"/>
      <color rgb="FFEDF5B1"/>
      <color rgb="FFDCE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showGridLines="0" tabSelected="1" zoomScale="75" zoomScaleNormal="75" workbookViewId="0">
      <selection activeCell="A14" sqref="A14:O14"/>
    </sheetView>
  </sheetViews>
  <sheetFormatPr defaultRowHeight="15" x14ac:dyDescent="0.25"/>
  <cols>
    <col min="1" max="1" width="7" customWidth="1"/>
    <col min="2" max="2" width="39" customWidth="1"/>
    <col min="3" max="3" width="27.42578125" customWidth="1"/>
    <col min="4" max="4" width="22.140625" customWidth="1"/>
    <col min="5" max="5" width="57.42578125" customWidth="1"/>
    <col min="6" max="6" width="10.140625" customWidth="1"/>
    <col min="7" max="7" width="14.140625" customWidth="1"/>
    <col min="8" max="8" width="21" customWidth="1"/>
    <col min="9" max="9" width="31" hidden="1" customWidth="1"/>
    <col min="10" max="10" width="15.42578125" hidden="1" customWidth="1"/>
    <col min="11" max="11" width="12.28515625" hidden="1" customWidth="1"/>
    <col min="12" max="12" width="14.85546875" hidden="1" customWidth="1"/>
    <col min="13" max="13" width="8.28515625" hidden="1" customWidth="1"/>
    <col min="14" max="14" width="41.5703125" customWidth="1"/>
    <col min="15" max="15" width="24.28515625" customWidth="1"/>
  </cols>
  <sheetData>
    <row r="1" spans="1:15" ht="65.45" customHeight="1" thickBot="1" x14ac:dyDescent="0.3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5" s="11" customFormat="1" ht="73.900000000000006" customHeight="1" x14ac:dyDescent="0.25">
      <c r="A2" s="60" t="s">
        <v>1</v>
      </c>
      <c r="B2" s="76"/>
      <c r="C2" s="12" t="s">
        <v>2</v>
      </c>
      <c r="D2" s="12" t="s">
        <v>3</v>
      </c>
      <c r="E2" s="13" t="s">
        <v>4</v>
      </c>
      <c r="F2" s="13" t="s">
        <v>5</v>
      </c>
      <c r="G2" s="12" t="s">
        <v>6</v>
      </c>
      <c r="H2" s="12" t="s">
        <v>7</v>
      </c>
      <c r="I2" s="74" t="s">
        <v>8</v>
      </c>
      <c r="J2" s="75"/>
      <c r="K2" s="76"/>
      <c r="L2" s="60" t="s">
        <v>9</v>
      </c>
      <c r="M2" s="61"/>
      <c r="N2" s="15" t="s">
        <v>10</v>
      </c>
      <c r="O2" s="14" t="s">
        <v>11</v>
      </c>
    </row>
    <row r="3" spans="1:15" s="10" customFormat="1" ht="79.900000000000006" customHeight="1" thickBot="1" x14ac:dyDescent="0.3">
      <c r="A3" s="80" t="s">
        <v>12</v>
      </c>
      <c r="B3" s="81"/>
      <c r="C3" s="35">
        <f>VLOOKUP(E3,Sheet2!A2:D13,4,FALSE)</f>
        <v>4.1717690999999997</v>
      </c>
      <c r="D3" s="16">
        <v>0</v>
      </c>
      <c r="E3" s="17" t="s">
        <v>13</v>
      </c>
      <c r="F3" s="40">
        <f>VLOOKUP(E3,Sheet2!A2:C13,2,FALSE)</f>
        <v>1</v>
      </c>
      <c r="G3" s="39">
        <f>VLOOKUP(E3,Sheet2!A2:C13,3,FALSE)</f>
        <v>2.9714</v>
      </c>
      <c r="H3" s="41">
        <f>IF(F3&lt;365,F3/365*D3*C3/24*G3,((92/365*5.0971411/24*D3)+((273/365*4.1717691/24*D3))))</f>
        <v>0</v>
      </c>
      <c r="I3" s="82" t="s">
        <v>14</v>
      </c>
      <c r="J3" s="83"/>
      <c r="K3" s="84"/>
      <c r="L3" s="62">
        <f>H3</f>
        <v>0</v>
      </c>
      <c r="M3" s="63"/>
      <c r="N3" s="42">
        <f>IF(F3&gt;=365,20%,IF(F3&lt;=1,100%,50%))</f>
        <v>1</v>
      </c>
      <c r="O3" s="43">
        <f>H3*N3</f>
        <v>0</v>
      </c>
    </row>
    <row r="4" spans="1:15" s="10" customFormat="1" ht="73.150000000000006" customHeight="1" x14ac:dyDescent="0.25">
      <c r="A4" s="77" t="s">
        <v>15</v>
      </c>
      <c r="B4" s="18" t="s">
        <v>16</v>
      </c>
      <c r="C4" s="19" t="s">
        <v>17</v>
      </c>
      <c r="D4" s="19" t="s">
        <v>18</v>
      </c>
      <c r="E4" s="60" t="s">
        <v>19</v>
      </c>
      <c r="F4" s="76"/>
      <c r="G4" s="19" t="s">
        <v>6</v>
      </c>
      <c r="H4" s="19" t="s">
        <v>7</v>
      </c>
      <c r="I4" s="74" t="s">
        <v>8</v>
      </c>
      <c r="J4" s="94"/>
      <c r="K4" s="65"/>
      <c r="L4" s="20" t="s">
        <v>9</v>
      </c>
      <c r="M4" s="91" t="s">
        <v>15</v>
      </c>
      <c r="N4" s="15" t="s">
        <v>10</v>
      </c>
      <c r="O4" s="14" t="s">
        <v>11</v>
      </c>
    </row>
    <row r="5" spans="1:15" s="10" customFormat="1" ht="56.45" customHeight="1" x14ac:dyDescent="0.25">
      <c r="A5" s="78"/>
      <c r="B5" s="21" t="s">
        <v>20</v>
      </c>
      <c r="C5" s="36">
        <v>1.3247007</v>
      </c>
      <c r="D5" s="16">
        <v>0</v>
      </c>
      <c r="E5" s="87">
        <v>1</v>
      </c>
      <c r="F5" s="88"/>
      <c r="G5" s="36">
        <f>IF(E5&lt;18,(ROUND((-0.0865507*E5)-(-3.0579123),4)),(IF(E5&lt;365,ROUND(1.5327293*EXP(-0.00117*E5),4),1)))</f>
        <v>2.9714</v>
      </c>
      <c r="H5" s="46">
        <f>IF(E5&lt;=365,E5/365*G5*D5*C5/24,G5*D5*C5/24)</f>
        <v>0</v>
      </c>
      <c r="I5" s="95" t="s">
        <v>14</v>
      </c>
      <c r="J5" s="96"/>
      <c r="K5" s="97"/>
      <c r="L5" s="22">
        <f>H5</f>
        <v>0</v>
      </c>
      <c r="M5" s="92"/>
      <c r="N5" s="45">
        <f>IF(E5&gt;=365,20%,IF(E5&lt;=5,100%,IF(E5&gt;=90,(50-(((E5-90)/275)*30))%,50%)))</f>
        <v>1</v>
      </c>
      <c r="O5" s="44">
        <f>H5*N5</f>
        <v>0</v>
      </c>
    </row>
    <row r="6" spans="1:15" s="10" customFormat="1" ht="51.75" customHeight="1" thickBot="1" x14ac:dyDescent="0.3">
      <c r="A6" s="78"/>
      <c r="B6" s="23" t="s">
        <v>21</v>
      </c>
      <c r="C6" s="37">
        <v>2.9684484000000002</v>
      </c>
      <c r="D6" s="16">
        <v>0</v>
      </c>
      <c r="E6" s="89">
        <v>1</v>
      </c>
      <c r="F6" s="90"/>
      <c r="G6" s="37">
        <f>IF(E5&lt;18,(ROUND((-0.0865507*E5)-(-3.0579123),4)),(IF(E5&lt;365,ROUND(1.5327293*EXP(-0.00117*E5),4),1)))</f>
        <v>2.9714</v>
      </c>
      <c r="H6" s="47">
        <f>IF(E6&lt;=365,E6/365*G6*D6*C6/24,G6*D6*C6/24)</f>
        <v>0</v>
      </c>
      <c r="I6" s="98"/>
      <c r="J6" s="99"/>
      <c r="K6" s="100"/>
      <c r="L6" s="24">
        <f>H6</f>
        <v>0</v>
      </c>
      <c r="M6" s="92"/>
      <c r="N6" s="48">
        <f>IF(E6&lt;365,50%,30%)</f>
        <v>0.5</v>
      </c>
      <c r="O6" s="49">
        <f>H6*N6</f>
        <v>0</v>
      </c>
    </row>
    <row r="7" spans="1:15" s="10" customFormat="1" ht="51.75" customHeight="1" thickBot="1" x14ac:dyDescent="0.3">
      <c r="A7" s="79"/>
      <c r="B7" s="85" t="s">
        <v>22</v>
      </c>
      <c r="C7" s="86"/>
      <c r="D7" s="86"/>
      <c r="E7" s="86"/>
      <c r="F7" s="86"/>
      <c r="G7" s="25"/>
      <c r="H7" s="26"/>
      <c r="I7" s="26"/>
      <c r="J7" s="26"/>
      <c r="K7" s="27"/>
      <c r="L7" s="28">
        <f>L5+L6</f>
        <v>0</v>
      </c>
      <c r="M7" s="93"/>
      <c r="N7" s="29"/>
      <c r="O7" s="50">
        <f>O5+O6</f>
        <v>0</v>
      </c>
    </row>
    <row r="8" spans="1:15" s="10" customFormat="1" ht="57" customHeight="1" x14ac:dyDescent="0.25">
      <c r="A8" s="64" t="s">
        <v>23</v>
      </c>
      <c r="B8" s="65"/>
      <c r="C8" s="12" t="s">
        <v>24</v>
      </c>
      <c r="D8" s="12" t="s">
        <v>3</v>
      </c>
      <c r="E8" s="67" t="s">
        <v>19</v>
      </c>
      <c r="F8" s="67"/>
      <c r="G8" s="19" t="s">
        <v>6</v>
      </c>
      <c r="H8" s="12" t="s">
        <v>7</v>
      </c>
      <c r="I8" s="12" t="s">
        <v>25</v>
      </c>
      <c r="J8" s="12" t="s">
        <v>26</v>
      </c>
      <c r="K8" s="12" t="s">
        <v>27</v>
      </c>
      <c r="L8" s="60" t="s">
        <v>9</v>
      </c>
      <c r="M8" s="61"/>
      <c r="N8" s="15" t="s">
        <v>10</v>
      </c>
      <c r="O8" s="14" t="s">
        <v>11</v>
      </c>
    </row>
    <row r="9" spans="1:15" s="10" customFormat="1" ht="42.6" customHeight="1" thickBot="1" x14ac:dyDescent="0.3">
      <c r="A9" s="66" t="s">
        <v>52</v>
      </c>
      <c r="B9" s="66"/>
      <c r="C9" s="38">
        <f>VLOOKUP('Charge Calculations'!A9,Sheet3!A2:B3,2)</f>
        <v>4.1019994000000004</v>
      </c>
      <c r="D9" s="31">
        <v>0</v>
      </c>
      <c r="E9" s="66">
        <v>1</v>
      </c>
      <c r="F9" s="66"/>
      <c r="G9" s="38">
        <f>IF(E9&lt;365,ROUND(3.880929*EXP(-0.003715*E9),4),1)</f>
        <v>3.8664999999999998</v>
      </c>
      <c r="H9" s="53">
        <f>IF(E9&lt;=365,E9/365*G9*D9*C9/24,G9*D9*C9/24)</f>
        <v>0</v>
      </c>
      <c r="I9" s="30">
        <v>1.9589999999999999E-4</v>
      </c>
      <c r="J9" s="33">
        <f>D9*E9</f>
        <v>0</v>
      </c>
      <c r="K9" s="32">
        <f>I9*J9</f>
        <v>0</v>
      </c>
      <c r="L9" s="62">
        <f>H9+K9</f>
        <v>0</v>
      </c>
      <c r="M9" s="63"/>
      <c r="N9" s="52">
        <f>IF(E9&gt;=365,20%,IF(E9&lt;=5,100%,IF(E9&gt;=90,(50-(((E9-90)/275)*30))%,50%)))</f>
        <v>1</v>
      </c>
      <c r="O9" s="51">
        <f>H9*N9</f>
        <v>0</v>
      </c>
    </row>
    <row r="10" spans="1:15" ht="13.1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34"/>
      <c r="O10" s="34"/>
    </row>
    <row r="11" spans="1:15" ht="9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34"/>
      <c r="O11" s="34"/>
    </row>
    <row r="12" spans="1:15" ht="54.6" customHeight="1" x14ac:dyDescent="0.25">
      <c r="A12" s="68" t="s">
        <v>29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70"/>
    </row>
    <row r="13" spans="1:15" ht="1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34"/>
      <c r="O13" s="34"/>
    </row>
    <row r="14" spans="1:15" ht="92.45" customHeight="1" x14ac:dyDescent="0.25">
      <c r="A14" s="54" t="s">
        <v>53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</row>
  </sheetData>
  <sheetProtection algorithmName="SHA-512" hashValue="Eg1lSsAfSbB91FzOFhGYSS1lm0AXUu49k8dFEpROfueaTS9+zYaiZ+U0qrYrh3t1EjhBW8Z4iif35CP9DGFDtw==" saltValue="FLu2SBzdygDSxULB/2aPDQ==" spinCount="100000" sheet="1" objects="1" scenarios="1" selectLockedCells="1"/>
  <dataConsolidate/>
  <mergeCells count="25">
    <mergeCell ref="A1:O1"/>
    <mergeCell ref="I2:K2"/>
    <mergeCell ref="A4:A7"/>
    <mergeCell ref="A2:B2"/>
    <mergeCell ref="L2:M2"/>
    <mergeCell ref="L3:M3"/>
    <mergeCell ref="A3:B3"/>
    <mergeCell ref="I3:K3"/>
    <mergeCell ref="B7:F7"/>
    <mergeCell ref="E5:F5"/>
    <mergeCell ref="E6:F6"/>
    <mergeCell ref="E4:F4"/>
    <mergeCell ref="M4:M7"/>
    <mergeCell ref="I4:K4"/>
    <mergeCell ref="I5:K6"/>
    <mergeCell ref="A14:O14"/>
    <mergeCell ref="A10:M11"/>
    <mergeCell ref="A13:M13"/>
    <mergeCell ref="L8:M8"/>
    <mergeCell ref="L9:M9"/>
    <mergeCell ref="A8:B8"/>
    <mergeCell ref="A9:B9"/>
    <mergeCell ref="E9:F9"/>
    <mergeCell ref="E8:F8"/>
    <mergeCell ref="A12:O12"/>
  </mergeCells>
  <phoneticPr fontId="9" type="noConversion"/>
  <pageMargins left="0.7" right="0.7" top="0.75" bottom="0.75" header="0.3" footer="0.3"/>
  <pageSetup paperSize="9" orientation="portrait" verticalDpi="90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Sheet3!$A$2:$A$3</xm:f>
          </x14:formula1>
          <xm:sqref>A9</xm:sqref>
        </x14:dataValidation>
        <x14:dataValidation type="list" allowBlank="1" showInputMessage="1" showErrorMessage="1" xr:uid="{00000000-0002-0000-0000-000001000000}">
          <x14:formula1>
            <xm:f>Sheet2!$A$2:$A$13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topLeftCell="B1" workbookViewId="0">
      <selection activeCell="D19" sqref="D19"/>
    </sheetView>
  </sheetViews>
  <sheetFormatPr defaultRowHeight="15" x14ac:dyDescent="0.25"/>
  <cols>
    <col min="1" max="1" width="84" customWidth="1"/>
    <col min="3" max="3" width="21.140625" customWidth="1"/>
    <col min="4" max="4" width="12.28515625" customWidth="1"/>
    <col min="5" max="5" width="7.140625" customWidth="1"/>
    <col min="6" max="6" width="25.5703125" customWidth="1"/>
    <col min="7" max="7" width="4.5703125" customWidth="1"/>
    <col min="8" max="8" width="4.7109375" customWidth="1"/>
    <col min="9" max="9" width="4.85546875" customWidth="1"/>
    <col min="10" max="10" width="4.28515625" customWidth="1"/>
    <col min="12" max="12" width="9.5703125" bestFit="1" customWidth="1"/>
    <col min="13" max="13" width="10.5703125" bestFit="1" customWidth="1"/>
  </cols>
  <sheetData>
    <row r="1" spans="1:14" x14ac:dyDescent="0.25">
      <c r="A1" s="1" t="s">
        <v>30</v>
      </c>
      <c r="B1" s="1" t="s">
        <v>31</v>
      </c>
      <c r="C1" s="1" t="s">
        <v>32</v>
      </c>
      <c r="D1" s="1" t="s">
        <v>33</v>
      </c>
    </row>
    <row r="2" spans="1:14" x14ac:dyDescent="0.25">
      <c r="A2" t="s">
        <v>34</v>
      </c>
      <c r="B2">
        <v>1</v>
      </c>
      <c r="C2">
        <v>2.9714</v>
      </c>
      <c r="D2">
        <v>5.0971411</v>
      </c>
      <c r="E2">
        <v>365</v>
      </c>
      <c r="F2" s="6">
        <f>IF(E2&lt;18,(ROUND(3.008886*EXP(-0.003018*E2),4)),(ROUND(1.53188*EXP(-0.001168*E2),4)))</f>
        <v>1.0002</v>
      </c>
      <c r="K2" t="s">
        <v>35</v>
      </c>
      <c r="L2" s="8">
        <v>44470</v>
      </c>
      <c r="M2" s="8">
        <v>44561</v>
      </c>
      <c r="N2">
        <f>M2+1-L2</f>
        <v>92</v>
      </c>
    </row>
    <row r="3" spans="1:14" x14ac:dyDescent="0.25">
      <c r="A3" t="s">
        <v>13</v>
      </c>
      <c r="B3">
        <v>1</v>
      </c>
      <c r="C3">
        <v>2.9714</v>
      </c>
      <c r="D3">
        <v>4.1717690999999997</v>
      </c>
      <c r="F3" s="7"/>
      <c r="L3" s="8"/>
      <c r="M3" s="8"/>
    </row>
    <row r="4" spans="1:14" x14ac:dyDescent="0.25">
      <c r="A4" t="s">
        <v>36</v>
      </c>
      <c r="B4">
        <v>31</v>
      </c>
      <c r="C4">
        <v>1.4799</v>
      </c>
      <c r="D4">
        <v>5.0971411</v>
      </c>
      <c r="F4" s="7"/>
      <c r="K4" t="s">
        <v>37</v>
      </c>
      <c r="L4" s="8">
        <v>44562</v>
      </c>
      <c r="M4" s="8">
        <v>44651</v>
      </c>
      <c r="N4">
        <f t="shared" ref="N4:N8" si="0">M4+1-L4</f>
        <v>90</v>
      </c>
    </row>
    <row r="5" spans="1:14" x14ac:dyDescent="0.25">
      <c r="A5" t="s">
        <v>38</v>
      </c>
      <c r="B5">
        <v>31</v>
      </c>
      <c r="C5">
        <v>1.4799</v>
      </c>
      <c r="D5">
        <v>4.1717690999999997</v>
      </c>
      <c r="F5" s="7"/>
      <c r="L5" s="8"/>
      <c r="M5" s="8"/>
    </row>
    <row r="6" spans="1:14" x14ac:dyDescent="0.25">
      <c r="A6" t="s">
        <v>39</v>
      </c>
      <c r="B6">
        <v>30</v>
      </c>
      <c r="C6">
        <v>1.4799</v>
      </c>
      <c r="D6">
        <v>5.0971411</v>
      </c>
      <c r="K6" t="s">
        <v>40</v>
      </c>
      <c r="L6" s="8">
        <v>44652</v>
      </c>
      <c r="M6" s="8">
        <v>44742</v>
      </c>
      <c r="N6">
        <f t="shared" si="0"/>
        <v>91</v>
      </c>
    </row>
    <row r="7" spans="1:14" x14ac:dyDescent="0.25">
      <c r="A7" t="s">
        <v>41</v>
      </c>
      <c r="B7">
        <v>30</v>
      </c>
      <c r="C7">
        <v>1.4799</v>
      </c>
      <c r="D7">
        <v>4.1717690999999997</v>
      </c>
      <c r="L7" s="8"/>
      <c r="M7" s="8"/>
    </row>
    <row r="8" spans="1:14" x14ac:dyDescent="0.25">
      <c r="A8" t="s">
        <v>42</v>
      </c>
      <c r="B8">
        <v>28</v>
      </c>
      <c r="C8">
        <v>1.4799</v>
      </c>
      <c r="D8">
        <v>4.1717690999999997</v>
      </c>
      <c r="K8" t="s">
        <v>43</v>
      </c>
      <c r="L8" s="8">
        <v>44743</v>
      </c>
      <c r="M8" s="8">
        <v>44834</v>
      </c>
      <c r="N8">
        <f t="shared" si="0"/>
        <v>92</v>
      </c>
    </row>
    <row r="9" spans="1:14" x14ac:dyDescent="0.25">
      <c r="A9" t="s">
        <v>44</v>
      </c>
      <c r="B9">
        <v>92</v>
      </c>
      <c r="C9">
        <v>1.3794999999999999</v>
      </c>
      <c r="D9">
        <v>5.0971411</v>
      </c>
    </row>
    <row r="10" spans="1:14" x14ac:dyDescent="0.25">
      <c r="A10" t="s">
        <v>45</v>
      </c>
      <c r="B10">
        <v>90</v>
      </c>
      <c r="C10">
        <v>1.3794999999999999</v>
      </c>
      <c r="D10">
        <v>4.1717690999999997</v>
      </c>
      <c r="K10" t="s">
        <v>46</v>
      </c>
      <c r="L10" s="8">
        <v>44105</v>
      </c>
      <c r="M10" s="8">
        <v>44469</v>
      </c>
      <c r="N10">
        <f>M10+1-L10</f>
        <v>365</v>
      </c>
    </row>
    <row r="11" spans="1:14" x14ac:dyDescent="0.25">
      <c r="A11" t="s">
        <v>47</v>
      </c>
      <c r="B11">
        <v>91</v>
      </c>
      <c r="C11">
        <v>1.3794999999999999</v>
      </c>
      <c r="D11">
        <v>4.1717690999999997</v>
      </c>
    </row>
    <row r="12" spans="1:14" x14ac:dyDescent="0.25">
      <c r="A12" t="s">
        <v>48</v>
      </c>
      <c r="B12">
        <v>92</v>
      </c>
      <c r="C12">
        <v>1.3794999999999999</v>
      </c>
      <c r="D12">
        <v>4.1717690999999997</v>
      </c>
    </row>
    <row r="13" spans="1:14" x14ac:dyDescent="0.25">
      <c r="A13" t="s">
        <v>49</v>
      </c>
      <c r="B13">
        <v>365</v>
      </c>
      <c r="C13">
        <v>1</v>
      </c>
      <c r="D13">
        <v>4.1717690999999997</v>
      </c>
    </row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workbookViewId="0">
      <selection activeCell="D2" sqref="D2"/>
    </sheetView>
  </sheetViews>
  <sheetFormatPr defaultRowHeight="15" x14ac:dyDescent="0.25"/>
  <cols>
    <col min="1" max="1" width="20" customWidth="1"/>
    <col min="2" max="2" width="49.28515625" customWidth="1"/>
    <col min="6" max="7" width="10.42578125" bestFit="1" customWidth="1"/>
  </cols>
  <sheetData>
    <row r="1" spans="1:7" ht="67.5" customHeight="1" x14ac:dyDescent="0.25">
      <c r="A1" s="2" t="s">
        <v>50</v>
      </c>
      <c r="B1" s="3" t="s">
        <v>51</v>
      </c>
    </row>
    <row r="2" spans="1:7" x14ac:dyDescent="0.25">
      <c r="A2" s="4" t="s">
        <v>28</v>
      </c>
      <c r="B2" s="5">
        <v>3.7578065</v>
      </c>
      <c r="D2">
        <v>2.7290326</v>
      </c>
      <c r="E2">
        <v>1.0287738</v>
      </c>
      <c r="F2" s="9">
        <f>D2+E2</f>
        <v>3.7578063999999998</v>
      </c>
      <c r="G2" s="9"/>
    </row>
    <row r="3" spans="1:7" x14ac:dyDescent="0.25">
      <c r="A3" s="4" t="s">
        <v>52</v>
      </c>
      <c r="B3" s="5">
        <v>4.1019994000000004</v>
      </c>
      <c r="D3">
        <v>3.0732255999999998</v>
      </c>
      <c r="E3">
        <v>1.0287738</v>
      </c>
      <c r="F3" s="9">
        <f>D3+E3</f>
        <v>4.1019993999999995</v>
      </c>
      <c r="G3" s="9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0" ma:contentTypeDescription="Δημιουργία νέου εγγράφου" ma:contentTypeScope="" ma:versionID="3fbe6dae003ece37de9e940c4b9e1039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e0a15ec39ea29cf003e6d49343fbeac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5806C-A52F-4E68-A5F7-AA2AE231DBEE}">
  <ds:schemaRefs>
    <ds:schemaRef ds:uri="738f5970-3b6b-4745-befa-d5e656e6027a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b171296-ac32-47c7-8b85-8384cb4f8c6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7727E7-F919-4F80-8B49-8635D6691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9C29DB-5403-4D72-A7B7-7378A7CDE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Charge Calculations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Μίζη Μαριάννα</dc:creator>
  <cp:keywords/>
  <dc:description/>
  <cp:lastModifiedBy>Ioannis Kikidis</cp:lastModifiedBy>
  <cp:revision/>
  <dcterms:created xsi:type="dcterms:W3CDTF">2019-12-09T09:58:15Z</dcterms:created>
  <dcterms:modified xsi:type="dcterms:W3CDTF">2022-10-21T09:44:06Z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e2555d98-6056-43bf-a484-3b5776031a7d</vt:lpwstr>
  </property>
  <property fmtid="{D5CDD505-2E9C-101B-9397-08002B2CF9AE}" pid="3" name="ContentTypeId">
    <vt:lpwstr>0x01010019B1F8822A23F54CAD78CE952611610C</vt:lpwstr>
  </property>
</Properties>
</file>