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General/Διάφορα/"/>
    </mc:Choice>
  </mc:AlternateContent>
  <xr:revisionPtr revIDLastSave="30" documentId="13_ncr:1_{83E67616-2BA5-4046-A794-85F823D1C484}" xr6:coauthVersionLast="47" xr6:coauthVersionMax="47" xr10:uidLastSave="{D3700068-DBB5-4F04-8A76-9C94A11A4978}"/>
  <workbookProtection workbookAlgorithmName="SHA-512" workbookHashValue="Zk2De79hXj5SgsFk0Z4sCT7+koBUlDiG1dmF2/P/fl3LHWttwUPh8ibRUNNaH8D5giPkEVkyj7g2bo9+KCSH4Q==" workbookSaltValue="cHBYAqWpDhDGRpU51jq0Vg==" workbookSpinCount="100000" lockStructure="1"/>
  <bookViews>
    <workbookView xWindow="-120" yWindow="-120" windowWidth="29040" windowHeight="15840" xr2:uid="{00000000-000D-0000-FFFF-FFFF00000000}"/>
  </bookViews>
  <sheets>
    <sheet name="Capacity Products" sheetId="1" r:id="rId1"/>
    <sheet name="IPs" sheetId="4" state="hidden" r:id="rId2"/>
    <sheet name="Type of Product" sheetId="3" state="hidden" r:id="rId3"/>
    <sheet name="B-SDM_ENTRY" sheetId="2" state="hidden" r:id="rId4"/>
    <sheet name="B-SDM_EXI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G5" i="1"/>
  <c r="G3" i="1"/>
  <c r="H4" i="1" l="1"/>
  <c r="G4" i="1"/>
  <c r="D13" i="5"/>
  <c r="D13" i="2"/>
  <c r="G8" i="1" l="1"/>
  <c r="G6" i="1"/>
  <c r="H8" i="1"/>
  <c r="H5" i="1"/>
  <c r="H3" i="1"/>
  <c r="F8" i="1"/>
  <c r="F6" i="1"/>
  <c r="F5" i="1"/>
  <c r="F4" i="1"/>
  <c r="F3" i="1"/>
  <c r="L8" i="1" l="1"/>
  <c r="L6" i="1"/>
  <c r="J3" i="1"/>
  <c r="M9" i="1"/>
  <c r="N9" i="1" s="1"/>
  <c r="H9" i="1"/>
  <c r="L9" i="1" s="1"/>
  <c r="F2" i="5"/>
  <c r="O9" i="1" l="1"/>
  <c r="K5" i="1" a="1"/>
  <c r="K5" i="1" s="1"/>
  <c r="K3" i="1" a="1"/>
  <c r="K3" i="1" s="1"/>
  <c r="J5" i="1"/>
  <c r="L5" i="1" l="1"/>
  <c r="O5" i="1" s="1"/>
  <c r="L4" i="1"/>
  <c r="O4" i="1" s="1"/>
  <c r="O6" i="1"/>
  <c r="O8" i="1" l="1"/>
  <c r="L3" i="1"/>
  <c r="O3" i="1" l="1"/>
  <c r="H12" i="1"/>
  <c r="H11" i="1"/>
  <c r="L12" i="1" l="1"/>
  <c r="O12" i="1" s="1"/>
  <c r="L11" i="1"/>
  <c r="O11" i="1" s="1"/>
  <c r="P11" i="1" s="1"/>
  <c r="F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<sst xmlns="http://schemas.openxmlformats.org/spreadsheetml/2006/main" count="160" uniqueCount="73">
  <si>
    <t>DAYS</t>
  </si>
  <si>
    <t>B Coefficient</t>
  </si>
  <si>
    <t>Quantity 
Coefficient 
[€/kWh]</t>
  </si>
  <si>
    <t xml:space="preserve">Total Charges </t>
  </si>
  <si>
    <t xml:space="preserve">Commodity (Quantity)
Charges </t>
  </si>
  <si>
    <t>Transmission 
Capacity 
[kWh/Day]</t>
  </si>
  <si>
    <t>Total Quantity 
[kWh]</t>
  </si>
  <si>
    <t>Capacity 
Charges</t>
  </si>
  <si>
    <t>Commodity (Quantity) 
Charges</t>
  </si>
  <si>
    <t>SDM</t>
  </si>
  <si>
    <t>D (Daily Product 2023)</t>
  </si>
  <si>
    <t>Y (Yearly Product 1/10/2023-30/09/2024)</t>
  </si>
  <si>
    <t>D (Daily Product 2024)</t>
  </si>
  <si>
    <t>M (Monthly product for 31 Days - October, December 2023)</t>
  </si>
  <si>
    <t>M (Monthly product for 31 Days - January, March, May, July, August, October, December 2024)</t>
  </si>
  <si>
    <t>M (Monthly product for 30 Days - November 2023)</t>
  </si>
  <si>
    <t>M (Monthly product for 30 Days - April, June, September, November 2024)</t>
  </si>
  <si>
    <t>M (Monthly Product February 2024: 29 Days)</t>
  </si>
  <si>
    <t>Q1 for GY23/24 (Quarterly product for Oct,Nov,Dec 2023)</t>
  </si>
  <si>
    <t>Q4 for GY23/24 (Quarterly product for Jul, Aug, Sep 2024)</t>
  </si>
  <si>
    <t>Q2 for GY23/24 (Quarterly product for Jan, Feb, Mar 2024)</t>
  </si>
  <si>
    <t>Q3 for GY23/24 (Quarterly product for Apr, May, Jun 2024)</t>
  </si>
  <si>
    <t>bFZK</t>
  </si>
  <si>
    <t>Discount
(%)</t>
  </si>
  <si>
    <t>Transmission / Regasification
Capacity 
[kWh/Day]</t>
  </si>
  <si>
    <t>Booking Period 
(Days)</t>
  </si>
  <si>
    <t>DOMESTIC EXIT POINTS</t>
  </si>
  <si>
    <t>Type of Product</t>
  </si>
  <si>
    <t>Firm</t>
  </si>
  <si>
    <t>Interruptible</t>
  </si>
  <si>
    <t>BZK</t>
  </si>
  <si>
    <t>–</t>
  </si>
  <si>
    <t>Route IPs</t>
  </si>
  <si>
    <t>ENTRY (BG→GR)</t>
  </si>
  <si>
    <t>EXIT (GR→BG)</t>
  </si>
  <si>
    <t>ENTRY (TAP→DESFA)</t>
  </si>
  <si>
    <t>ΕΧΙΤ (DESFA→TAP)</t>
  </si>
  <si>
    <t>ENTRY (TR→GR)</t>
  </si>
  <si>
    <t>EXIT (GR→TR)</t>
  </si>
  <si>
    <t>ENTRY (GASTRADE→DESFA)</t>
  </si>
  <si>
    <t>ΕΧΙΤ (DESFA→IGB)</t>
  </si>
  <si>
    <t>Direction</t>
  </si>
  <si>
    <t>EXIT (DESFA→IGB)</t>
  </si>
  <si>
    <t>Firm (Bundled)</t>
  </si>
  <si>
    <t>ENTRY 
(GASTRADE→DESFA)</t>
  </si>
  <si>
    <t>Revithoussa LNG Terminal</t>
  </si>
  <si>
    <t>EXIT</t>
  </si>
  <si>
    <t>AGIA TRIADA (ENTRY TO TRANSMISSION)</t>
  </si>
  <si>
    <t>ENTRY</t>
  </si>
  <si>
    <t>Product - ENTRY AMFITRITI</t>
  </si>
  <si>
    <t xml:space="preserve">Product - EXIT IPS </t>
  </si>
  <si>
    <t xml:space="preserve">Product EXIT KOMOTINI </t>
  </si>
  <si>
    <t>Product - KIPI 2023</t>
  </si>
  <si>
    <t xml:space="preserve">Product - ENTRY SIDIROKASTRO &amp; NEA MESIMBRIA </t>
  </si>
  <si>
    <t>NNGTS Entry/Exit Points</t>
  </si>
  <si>
    <t>Capacity Product</t>
  </si>
  <si>
    <t>Booking Period (Days)</t>
  </si>
  <si>
    <t>Capacity Coefficient
[€/kWh GCV /Hour/Year]</t>
  </si>
  <si>
    <t>Capacity Coefficient 
[€/kWh GCV /Hour/Year]</t>
  </si>
  <si>
    <t>ΝΑ</t>
  </si>
  <si>
    <t>Select from the drop-down list or fill numbers in green cells</t>
  </si>
  <si>
    <t>Discount</t>
  </si>
  <si>
    <t>Year 2024</t>
  </si>
  <si>
    <t>(**) the calculated total charge (cell P6 &amp; P8) applies to the whole product. The charges though will be imposed either from the product's start date or from the day of the COD of the Point, whichever comes later.</t>
  </si>
  <si>
    <t>(*) concerns the period from 01.10.2023 to 30.09.2024</t>
  </si>
  <si>
    <r>
      <t xml:space="preserve">NEA MESIMVRIA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</si>
  <si>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KIPI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</si>
  <si>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SIDIROKASTRON IP </t>
    </r>
    <r>
      <rPr>
        <b/>
        <vertAlign val="superscript"/>
        <sz val="14"/>
        <rFont val="Calibri"/>
        <family val="2"/>
        <charset val="161"/>
        <scheme val="minor"/>
      </rPr>
      <t>(*)</t>
    </r>
  </si>
  <si>
    <r>
      <t xml:space="preserve">AMFITRITI ENTRY </t>
    </r>
    <r>
      <rPr>
        <b/>
        <vertAlign val="superscript"/>
        <sz val="14"/>
        <rFont val="Calibri"/>
        <family val="2"/>
        <charset val="161"/>
        <scheme val="minor"/>
      </rPr>
      <t>(*)</t>
    </r>
    <r>
      <rPr>
        <b/>
        <sz val="14"/>
        <rFont val="Calibri"/>
        <family val="2"/>
        <charset val="161"/>
        <scheme val="minor"/>
      </rPr>
      <t xml:space="preserve">, </t>
    </r>
    <r>
      <rPr>
        <b/>
        <vertAlign val="superscript"/>
        <sz val="14"/>
        <rFont val="Calibri"/>
        <family val="2"/>
        <charset val="161"/>
        <scheme val="minor"/>
      </rPr>
      <t>(**)</t>
    </r>
  </si>
  <si>
    <r>
      <t xml:space="preserve">KOMOTINI IP (DESFA/IGB) </t>
    </r>
    <r>
      <rPr>
        <b/>
        <vertAlign val="superscript"/>
        <sz val="14"/>
        <rFont val="Calibri"/>
        <family val="2"/>
        <charset val="161"/>
        <scheme val="minor"/>
      </rPr>
      <t>(*), (**)</t>
    </r>
  </si>
  <si>
    <t>REVITHOUSSA TERMINAL (REGASIFICATION)</t>
  </si>
  <si>
    <t xml:space="preserve">Short-Term 
Coefficient
(B) </t>
  </si>
  <si>
    <t>Annual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</si>
</sst>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_ ;\-#,##0\ "/>
    <numFmt numFmtId="165" formatCode="#,##0.0000000_ ;\-#,##0.0000000\ "/>
    <numFmt numFmtId="166" formatCode="0.0000000"/>
    <numFmt numFmtId="167" formatCode="#,##0.0000000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8"/>
      <color theme="9" tint="-0.49998474074526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8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b/>
      <vertAlign val="superscript"/>
      <sz val="14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0" fontId="0" fillId="4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44" fontId="0" fillId="0" borderId="0" xfId="0" applyNumberFormat="1"/>
    <xf numFmtId="0" fontId="0" fillId="9" borderId="0" xfId="0" applyFill="1"/>
    <xf numFmtId="0" fontId="10" fillId="9" borderId="0" xfId="0" applyFont="1" applyFill="1"/>
    <xf numFmtId="3" fontId="5" fillId="5" borderId="4" xfId="0" applyNumberFormat="1" applyFont="1" applyFill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9" fontId="5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9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9" fontId="5" fillId="0" borderId="5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44" fontId="5" fillId="0" borderId="5" xfId="0" applyNumberFormat="1" applyFont="1" applyBorder="1" applyAlignment="1" applyProtection="1">
      <alignment vertic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7" fillId="8" borderId="13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167" fontId="0" fillId="0" borderId="0" xfId="0" applyNumberFormat="1"/>
    <xf numFmtId="9" fontId="5" fillId="0" borderId="15" xfId="0" applyNumberFormat="1" applyFont="1" applyBorder="1" applyAlignment="1" applyProtection="1">
      <alignment horizontal="center" vertical="center" wrapText="1"/>
      <protection hidden="1"/>
    </xf>
    <xf numFmtId="0" fontId="6" fillId="7" borderId="0" xfId="0" applyFont="1" applyFill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44" fontId="5" fillId="0" borderId="5" xfId="0" applyNumberFormat="1" applyFont="1" applyBorder="1" applyAlignment="1" applyProtection="1">
      <alignment horizontal="center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44" fontId="5" fillId="0" borderId="2" xfId="0" applyNumberFormat="1" applyFont="1" applyBorder="1" applyAlignment="1" applyProtection="1">
      <alignment horizontal="center" vertical="center"/>
      <protection hidden="1"/>
    </xf>
    <xf numFmtId="0" fontId="7" fillId="8" borderId="4" xfId="0" applyFont="1" applyFill="1" applyBorder="1" applyAlignment="1" applyProtection="1">
      <alignment horizontal="center" vertical="center"/>
      <protection hidden="1"/>
    </xf>
    <xf numFmtId="0" fontId="7" fillId="8" borderId="6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44" fontId="5" fillId="0" borderId="4" xfId="0" applyNumberFormat="1" applyFont="1" applyBorder="1" applyAlignment="1" applyProtection="1">
      <alignment horizontal="center" vertical="center"/>
      <protection hidden="1"/>
    </xf>
    <xf numFmtId="44" fontId="5" fillId="0" borderId="6" xfId="0" applyNumberFormat="1" applyFont="1" applyBorder="1" applyAlignment="1" applyProtection="1">
      <alignment horizontal="center" vertical="center"/>
      <protection hidden="1"/>
    </xf>
    <xf numFmtId="0" fontId="7" fillId="8" borderId="12" xfId="0" applyFont="1" applyFill="1" applyBorder="1" applyAlignment="1" applyProtection="1">
      <alignment horizontal="center" vertical="center"/>
      <protection hidden="1"/>
    </xf>
    <xf numFmtId="0" fontId="7" fillId="8" borderId="14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44" fontId="5" fillId="0" borderId="1" xfId="0" applyNumberFormat="1" applyFont="1" applyBorder="1" applyAlignment="1" applyProtection="1">
      <alignment horizontal="center" vertical="center"/>
      <protection hidden="1"/>
    </xf>
    <xf numFmtId="44" fontId="5" fillId="9" borderId="5" xfId="0" applyNumberFormat="1" applyFont="1" applyFill="1" applyBorder="1" applyAlignment="1" applyProtection="1">
      <alignment horizontal="center" vertical="center"/>
      <protection hidden="1"/>
    </xf>
    <xf numFmtId="44" fontId="5" fillId="9" borderId="7" xfId="0" applyNumberFormat="1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>
      <alignment horizontal="center" vertical="center" textRotation="90"/>
    </xf>
    <xf numFmtId="0" fontId="9" fillId="8" borderId="9" xfId="0" applyFont="1" applyFill="1" applyBorder="1" applyAlignment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4" fontId="5" fillId="9" borderId="4" xfId="0" applyNumberFormat="1" applyFont="1" applyFill="1" applyBorder="1" applyAlignment="1" applyProtection="1">
      <alignment horizontal="center" vertical="center"/>
      <protection hidden="1"/>
    </xf>
    <xf numFmtId="44" fontId="5" fillId="9" borderId="6" xfId="0" applyNumberFormat="1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951"/>
      <color rgb="FF21A340"/>
      <color rgb="FF1C882E"/>
      <color rgb="FFD5E462"/>
      <color rgb="FFEDF5B1"/>
      <color rgb="FFDCE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showGridLines="0" tabSelected="1" zoomScale="70" zoomScaleNormal="70" workbookViewId="0">
      <selection activeCell="D8" sqref="D8"/>
    </sheetView>
  </sheetViews>
  <sheetFormatPr defaultColWidth="8.85546875" defaultRowHeight="15" x14ac:dyDescent="0.25"/>
  <cols>
    <col min="1" max="1" width="70.28515625" customWidth="1"/>
    <col min="2" max="2" width="31.42578125" customWidth="1"/>
    <col min="3" max="3" width="27.42578125" customWidth="1"/>
    <col min="4" max="4" width="22.140625" customWidth="1"/>
    <col min="5" max="5" width="69.7109375" customWidth="1"/>
    <col min="6" max="6" width="12" customWidth="1"/>
    <col min="7" max="7" width="31.5703125" customWidth="1"/>
    <col min="8" max="9" width="18.28515625" customWidth="1"/>
    <col min="10" max="10" width="18.5703125" customWidth="1"/>
    <col min="11" max="11" width="18.5703125" hidden="1" customWidth="1"/>
    <col min="12" max="12" width="27.7109375" customWidth="1"/>
    <col min="13" max="13" width="16.85546875" customWidth="1"/>
    <col min="14" max="14" width="19.7109375" customWidth="1"/>
    <col min="15" max="15" width="29.28515625" customWidth="1"/>
    <col min="16" max="16" width="26.5703125" customWidth="1"/>
    <col min="17" max="17" width="14.85546875" customWidth="1"/>
  </cols>
  <sheetData>
    <row r="1" spans="1:16" ht="65.45" customHeight="1" x14ac:dyDescent="0.2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s="8" customFormat="1" ht="117" customHeight="1" thickBot="1" x14ac:dyDescent="0.3">
      <c r="A2" s="45" t="s">
        <v>54</v>
      </c>
      <c r="B2" s="46" t="s">
        <v>41</v>
      </c>
      <c r="C2" s="46" t="s">
        <v>27</v>
      </c>
      <c r="D2" s="47" t="s">
        <v>5</v>
      </c>
      <c r="E2" s="46" t="s">
        <v>55</v>
      </c>
      <c r="F2" s="47" t="s">
        <v>56</v>
      </c>
      <c r="G2" s="47" t="s">
        <v>58</v>
      </c>
      <c r="H2" s="47" t="s">
        <v>71</v>
      </c>
      <c r="I2" s="47" t="s">
        <v>2</v>
      </c>
      <c r="J2" s="47" t="s">
        <v>61</v>
      </c>
      <c r="K2" s="47" t="s">
        <v>72</v>
      </c>
      <c r="L2" s="47" t="s">
        <v>7</v>
      </c>
      <c r="M2" s="47" t="s">
        <v>6</v>
      </c>
      <c r="N2" s="47" t="s">
        <v>4</v>
      </c>
      <c r="O2" s="67" t="s">
        <v>3</v>
      </c>
      <c r="P2" s="68"/>
    </row>
    <row r="3" spans="1:16" s="7" customFormat="1" ht="45" customHeight="1" thickTop="1" x14ac:dyDescent="0.25">
      <c r="A3" s="39" t="s">
        <v>67</v>
      </c>
      <c r="B3" s="17" t="s">
        <v>33</v>
      </c>
      <c r="C3" s="18" t="s">
        <v>28</v>
      </c>
      <c r="D3" s="17">
        <v>0</v>
      </c>
      <c r="E3" s="18" t="s">
        <v>12</v>
      </c>
      <c r="F3" s="23">
        <f>VLOOKUP(E3,'B-SDM_ENTRY'!$A$1:$C$14,2,FALSE)</f>
        <v>1</v>
      </c>
      <c r="G3" s="38">
        <f>IF(B3=IPs!A2,VLOOKUP(E3,'B-SDM_ENTRY'!$A$1:$D$14,4,FALSE),VLOOKUP(E3,'B-SDM_EXIT'!$A$1:$D$14,4,FALSE))</f>
        <v>2.9175705999999999</v>
      </c>
      <c r="H3" s="39">
        <f>VLOOKUP(E3,'B-SDM_ENTRY'!$A$1:$C$14,3,FALSE)</f>
        <v>2.9714</v>
      </c>
      <c r="I3" s="24" t="s">
        <v>31</v>
      </c>
      <c r="J3" s="25">
        <f>IF(C3="Firm",0%,IF(B3="EXIT (GR→BG)",5%,50%))</f>
        <v>0</v>
      </c>
      <c r="K3" s="26" cm="1">
        <f t="array" ref="K3">IF(OR(E3='B-SDM_ENTRY'!A31:A34),365,366)</f>
        <v>365</v>
      </c>
      <c r="L3" s="13">
        <f>F3/K3*D3*G3/24*H3*(1-J3)</f>
        <v>0</v>
      </c>
      <c r="M3" s="57" t="s">
        <v>59</v>
      </c>
      <c r="N3" s="57"/>
      <c r="O3" s="65">
        <f t="shared" ref="O3:O5" si="0">L3</f>
        <v>0</v>
      </c>
      <c r="P3" s="66"/>
    </row>
    <row r="4" spans="1:16" s="7" customFormat="1" ht="45" customHeight="1" x14ac:dyDescent="0.25">
      <c r="A4" s="41" t="s">
        <v>66</v>
      </c>
      <c r="B4" s="41" t="s">
        <v>37</v>
      </c>
      <c r="C4" s="41" t="s">
        <v>22</v>
      </c>
      <c r="D4" s="19">
        <v>0</v>
      </c>
      <c r="E4" s="20" t="s">
        <v>12</v>
      </c>
      <c r="F4" s="27">
        <f>VLOOKUP(E4,'B-SDM_ENTRY'!$A$1:$C$14,2,FALSE)</f>
        <v>1</v>
      </c>
      <c r="G4" s="40">
        <f>VLOOKUP(E4,'B-SDM_ENTRY'!$A$31:$D$37,4,FALSE)</f>
        <v>2.9175705999999999</v>
      </c>
      <c r="H4" s="41">
        <f>VLOOKUP(E4,'B-SDM_ENTRY'!$A$31:$D$37,3,FALSE)</f>
        <v>1.3794999999999999</v>
      </c>
      <c r="I4" s="28" t="s">
        <v>31</v>
      </c>
      <c r="J4" s="29">
        <v>0.1</v>
      </c>
      <c r="K4" s="30">
        <v>365</v>
      </c>
      <c r="L4" s="12">
        <f>F4/K4*D4*G4/24*H4*(1-J4)</f>
        <v>0</v>
      </c>
      <c r="M4" s="69" t="s">
        <v>59</v>
      </c>
      <c r="N4" s="70"/>
      <c r="O4" s="71">
        <f t="shared" si="0"/>
        <v>0</v>
      </c>
      <c r="P4" s="60"/>
    </row>
    <row r="5" spans="1:16" s="7" customFormat="1" ht="45" customHeight="1" x14ac:dyDescent="0.25">
      <c r="A5" s="41" t="s">
        <v>65</v>
      </c>
      <c r="B5" s="20" t="s">
        <v>35</v>
      </c>
      <c r="C5" s="20" t="s">
        <v>28</v>
      </c>
      <c r="D5" s="19">
        <v>0</v>
      </c>
      <c r="E5" s="20" t="s">
        <v>12</v>
      </c>
      <c r="F5" s="27">
        <f>VLOOKUP(E5,'B-SDM_ENTRY'!$A$1:$C$14,2,FALSE)</f>
        <v>1</v>
      </c>
      <c r="G5" s="40">
        <f>IF(B5=IPs!A8,VLOOKUP(E5,'B-SDM_ENTRY'!$A$1:$D$14,4,FALSE),VLOOKUP(E5,'B-SDM_EXIT'!$A$1:$D$14,4,FALSE))</f>
        <v>2.9175705999999999</v>
      </c>
      <c r="H5" s="41">
        <f>VLOOKUP(E5,'B-SDM_ENTRY'!$A$1:$C$14,3,FALSE)</f>
        <v>2.9714</v>
      </c>
      <c r="I5" s="28" t="s">
        <v>31</v>
      </c>
      <c r="J5" s="29">
        <f>IF(C5="Firm",0%,IF(B5="ΕΧΙΤ (DESFA→TAP)",5%,50%))</f>
        <v>0</v>
      </c>
      <c r="K5" s="30" cm="1">
        <f t="array" ref="K5">IF(OR(E5='B-SDM_ENTRY'!A31:A34),365,366)</f>
        <v>365</v>
      </c>
      <c r="L5" s="12">
        <f>F5/K5*D5*G5/24*H5*(1-J5)</f>
        <v>0</v>
      </c>
      <c r="M5" s="69" t="s">
        <v>59</v>
      </c>
      <c r="N5" s="70"/>
      <c r="O5" s="71">
        <f t="shared" si="0"/>
        <v>0</v>
      </c>
      <c r="P5" s="60"/>
    </row>
    <row r="6" spans="1:16" s="7" customFormat="1" ht="45" customHeight="1" thickBot="1" x14ac:dyDescent="0.3">
      <c r="A6" s="43" t="s">
        <v>69</v>
      </c>
      <c r="B6" s="43" t="s">
        <v>42</v>
      </c>
      <c r="C6" s="43" t="s">
        <v>30</v>
      </c>
      <c r="D6" s="21">
        <v>0</v>
      </c>
      <c r="E6" s="22" t="s">
        <v>12</v>
      </c>
      <c r="F6" s="31">
        <f>VLOOKUP(E6,'B-SDM_ENTRY'!$A$1:$C$14,2,FALSE)</f>
        <v>1</v>
      </c>
      <c r="G6" s="42">
        <f>VLOOKUP(E6,'B-SDM_EXIT'!$A$17:$D$28,4,FALSE)</f>
        <v>5.4442043999999994</v>
      </c>
      <c r="H6" s="43">
        <f>VLOOKUP(E6,'B-SDM_EXIT'!$A$17:$C$28,3,FALSE)</f>
        <v>2.9714</v>
      </c>
      <c r="I6" s="32" t="s">
        <v>31</v>
      </c>
      <c r="J6" s="33">
        <v>0.1</v>
      </c>
      <c r="K6" s="34">
        <v>366</v>
      </c>
      <c r="L6" s="12">
        <f>F6/K6*D6*G6/24*H6*(1-J6)</f>
        <v>0</v>
      </c>
      <c r="M6" s="85" t="s">
        <v>59</v>
      </c>
      <c r="N6" s="86"/>
      <c r="O6" s="72">
        <f t="shared" ref="O6" si="1">L6</f>
        <v>0</v>
      </c>
      <c r="P6" s="73"/>
    </row>
    <row r="7" spans="1:16" s="7" customFormat="1" ht="10.9" customHeight="1" thickTop="1" thickBo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 s="7" customFormat="1" ht="54.6" customHeight="1" thickTop="1" x14ac:dyDescent="0.25">
      <c r="A8" s="39" t="s">
        <v>68</v>
      </c>
      <c r="B8" s="39" t="s">
        <v>44</v>
      </c>
      <c r="C8" s="18" t="s">
        <v>22</v>
      </c>
      <c r="D8" s="17">
        <v>0</v>
      </c>
      <c r="E8" s="18" t="s">
        <v>12</v>
      </c>
      <c r="F8" s="23">
        <f>VLOOKUP(E8,'B-SDM_ENTRY'!$A$1:$C$14,2,FALSE)</f>
        <v>1</v>
      </c>
      <c r="G8" s="38">
        <f>VLOOKUP(E8,'B-SDM_ENTRY'!$A$17:$D$28,4,FALSE)</f>
        <v>2.9175705999999999</v>
      </c>
      <c r="H8" s="39">
        <f>VLOOKUP(E8,'B-SDM_ENTRY'!$A$1:$C$14,3,FALSE)</f>
        <v>2.9714</v>
      </c>
      <c r="I8" s="24" t="s">
        <v>31</v>
      </c>
      <c r="J8" s="25">
        <v>0.1</v>
      </c>
      <c r="K8" s="26">
        <v>366</v>
      </c>
      <c r="L8" s="13">
        <f>F8/K8*D8*G8/24*H8*(1-J8)</f>
        <v>0</v>
      </c>
      <c r="M8" s="57" t="s">
        <v>59</v>
      </c>
      <c r="N8" s="57"/>
      <c r="O8" s="83">
        <f>L8</f>
        <v>0</v>
      </c>
      <c r="P8" s="84"/>
    </row>
    <row r="9" spans="1:16" s="7" customFormat="1" ht="52.9" customHeight="1" thickBot="1" x14ac:dyDescent="0.3">
      <c r="A9" s="43" t="s">
        <v>26</v>
      </c>
      <c r="B9" s="43" t="s">
        <v>46</v>
      </c>
      <c r="C9" s="43" t="s">
        <v>28</v>
      </c>
      <c r="D9" s="21">
        <v>0</v>
      </c>
      <c r="E9" s="82">
        <v>1</v>
      </c>
      <c r="F9" s="82"/>
      <c r="G9" s="32">
        <v>5.4442044000000003</v>
      </c>
      <c r="H9" s="32">
        <f>IF(E9&lt;365,ROUND(3.880929*EXP(-0.003715*E9),4),1)</f>
        <v>3.8664999999999998</v>
      </c>
      <c r="I9" s="32">
        <v>1.8310000000000001E-4</v>
      </c>
      <c r="J9" s="33">
        <v>0</v>
      </c>
      <c r="K9" s="34">
        <v>366</v>
      </c>
      <c r="L9" s="35">
        <f>E9/K9*D9*H9*G9/24</f>
        <v>0</v>
      </c>
      <c r="M9" s="36">
        <f>D9*E9</f>
        <v>0</v>
      </c>
      <c r="N9" s="11">
        <f>I9*M9</f>
        <v>0</v>
      </c>
      <c r="O9" s="55">
        <f>L9+N9</f>
        <v>0</v>
      </c>
      <c r="P9" s="56"/>
    </row>
    <row r="10" spans="1:16" s="7" customFormat="1" ht="100.5" customHeight="1" thickTop="1" x14ac:dyDescent="0.25">
      <c r="A10" s="48" t="s">
        <v>45</v>
      </c>
      <c r="B10" s="49" t="s">
        <v>41</v>
      </c>
      <c r="C10" s="49" t="s">
        <v>27</v>
      </c>
      <c r="D10" s="50" t="s">
        <v>24</v>
      </c>
      <c r="E10" s="59" t="s">
        <v>25</v>
      </c>
      <c r="F10" s="61"/>
      <c r="G10" s="50" t="s">
        <v>57</v>
      </c>
      <c r="H10" s="50" t="s">
        <v>71</v>
      </c>
      <c r="I10" s="50" t="s">
        <v>2</v>
      </c>
      <c r="J10" s="50" t="s">
        <v>23</v>
      </c>
      <c r="K10" s="50"/>
      <c r="L10" s="50" t="s">
        <v>7</v>
      </c>
      <c r="M10" s="59" t="s">
        <v>8</v>
      </c>
      <c r="N10" s="59"/>
      <c r="O10" s="61" t="s">
        <v>3</v>
      </c>
      <c r="P10" s="62"/>
    </row>
    <row r="11" spans="1:16" s="7" customFormat="1" ht="51" customHeight="1" x14ac:dyDescent="0.25">
      <c r="A11" s="41" t="s">
        <v>47</v>
      </c>
      <c r="B11" s="76" t="s">
        <v>48</v>
      </c>
      <c r="C11" s="76" t="s">
        <v>43</v>
      </c>
      <c r="D11" s="80">
        <v>0</v>
      </c>
      <c r="E11" s="78">
        <v>1</v>
      </c>
      <c r="F11" s="78"/>
      <c r="G11" s="28">
        <v>2.9175705999999999</v>
      </c>
      <c r="H11" s="28">
        <f>IF(E11&lt;18,(ROUND((-0.0865507*E11)+3.0579123,4)),(IF(E11&lt;365,ROUND(1.5327293*EXP(-0.00117*E11),4),1)))</f>
        <v>2.9714</v>
      </c>
      <c r="I11" s="28" t="s">
        <v>31</v>
      </c>
      <c r="J11" s="29">
        <v>0</v>
      </c>
      <c r="K11" s="28">
        <v>366</v>
      </c>
      <c r="L11" s="37">
        <f>E11/K11*H11*D11*G11/24</f>
        <v>0</v>
      </c>
      <c r="M11" s="63" t="s">
        <v>59</v>
      </c>
      <c r="N11" s="63"/>
      <c r="O11" s="12">
        <f>L11</f>
        <v>0</v>
      </c>
      <c r="P11" s="60">
        <f>O11+O12</f>
        <v>0</v>
      </c>
    </row>
    <row r="12" spans="1:16" s="7" customFormat="1" ht="51.75" customHeight="1" thickBot="1" x14ac:dyDescent="0.3">
      <c r="A12" s="43" t="s">
        <v>70</v>
      </c>
      <c r="B12" s="77"/>
      <c r="C12" s="77"/>
      <c r="D12" s="81"/>
      <c r="E12" s="79"/>
      <c r="F12" s="79"/>
      <c r="G12" s="32">
        <v>1.9239538</v>
      </c>
      <c r="H12" s="32">
        <f>IF(E11&lt;18,(ROUND((-0.0865507*E11)+3.0579123,4)),(IF(E11&lt;365,ROUND(1.5327293*EXP(-0.00117*E11),4),1)))</f>
        <v>2.9714</v>
      </c>
      <c r="I12" s="32" t="s">
        <v>31</v>
      </c>
      <c r="J12" s="52">
        <v>0</v>
      </c>
      <c r="K12" s="32">
        <v>366</v>
      </c>
      <c r="L12" s="35">
        <f>E11/K12*H12*D11*G12/24</f>
        <v>0</v>
      </c>
      <c r="M12" s="64" t="s">
        <v>59</v>
      </c>
      <c r="N12" s="64"/>
      <c r="O12" s="11">
        <f>L12</f>
        <v>0</v>
      </c>
      <c r="P12" s="56"/>
    </row>
    <row r="13" spans="1:16" s="7" customFormat="1" ht="51.75" customHeight="1" thickTop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ht="54.6" customHeight="1" x14ac:dyDescent="0.25">
      <c r="A14" s="58" t="s">
        <v>60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8" spans="1:12" ht="22.15" customHeight="1" x14ac:dyDescent="0.3">
      <c r="A18" s="44" t="s">
        <v>64</v>
      </c>
    </row>
    <row r="19" spans="1:12" ht="28.9" customHeight="1" x14ac:dyDescent="0.3">
      <c r="A19" s="16" t="s">
        <v>63</v>
      </c>
      <c r="B19" s="15"/>
      <c r="C19" s="15"/>
      <c r="D19" s="15"/>
      <c r="E19" s="15"/>
      <c r="F19" s="15"/>
      <c r="L19" s="14"/>
    </row>
    <row r="22" spans="1:12" x14ac:dyDescent="0.25">
      <c r="B22" s="4"/>
    </row>
  </sheetData>
  <sheetProtection algorithmName="SHA-512" hashValue="+m80NlxbhUKtny4kS9IhkrO+NeczbVayvxtxgRCeX8+eteM+e5eXjyowX+OjpM/9M+UeA1t3fotCyWAR04+LkQ==" saltValue="I+DICKBvkb6oeKIWQnYx6w==" spinCount="100000" sheet="1" objects="1" scenarios="1" selectLockedCells="1"/>
  <dataConsolidate/>
  <mergeCells count="26">
    <mergeCell ref="O6:P6"/>
    <mergeCell ref="O5:P5"/>
    <mergeCell ref="A7:P7"/>
    <mergeCell ref="B11:B12"/>
    <mergeCell ref="E11:F12"/>
    <mergeCell ref="D11:D12"/>
    <mergeCell ref="E9:F9"/>
    <mergeCell ref="O8:P8"/>
    <mergeCell ref="M6:N6"/>
    <mergeCell ref="C11:C12"/>
    <mergeCell ref="A1:P1"/>
    <mergeCell ref="O9:P9"/>
    <mergeCell ref="M8:N8"/>
    <mergeCell ref="A14:P14"/>
    <mergeCell ref="M10:N10"/>
    <mergeCell ref="P11:P12"/>
    <mergeCell ref="O10:P10"/>
    <mergeCell ref="E10:F10"/>
    <mergeCell ref="M11:N11"/>
    <mergeCell ref="M12:N12"/>
    <mergeCell ref="O3:P3"/>
    <mergeCell ref="O2:P2"/>
    <mergeCell ref="M3:N3"/>
    <mergeCell ref="M5:N5"/>
    <mergeCell ref="M4:N4"/>
    <mergeCell ref="O4:P4"/>
  </mergeCells>
  <pageMargins left="0.7" right="0.7" top="0.75" bottom="0.75" header="0.3" footer="0.3"/>
  <pageSetup paperSize="9" orientation="portrait" verticalDpi="90" r:id="rId1"/>
  <customProperties>
    <customPr name="_pios_id" r:id="rId2"/>
    <customPr name="EpmWorksheetKeyString_GUID" r:id="rId3"/>
  </customProperties>
  <ignoredErrors>
    <ignoredError sqref="L4" formula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2B0172A-31B9-4C13-9F04-4AC4232FFCBA}">
          <x14:formula1>
            <xm:f>'Type of Product'!$A$2:$A$3</xm:f>
          </x14:formula1>
          <xm:sqref>C3</xm:sqref>
        </x14:dataValidation>
        <x14:dataValidation type="list" allowBlank="1" showInputMessage="1" showErrorMessage="1" xr:uid="{8ED089F9-2AC8-478C-913D-1CB8A89A5226}">
          <x14:formula1>
            <xm:f>'Type of Product'!$A$4:$A$5</xm:f>
          </x14:formula1>
          <xm:sqref>C8</xm:sqref>
        </x14:dataValidation>
        <x14:dataValidation type="list" allowBlank="1" showInputMessage="1" showErrorMessage="1" xr:uid="{7FFB4972-20BC-4700-B708-E89A615AC7A9}">
          <x14:formula1>
            <xm:f>IPs!$A$2:$A$3</xm:f>
          </x14:formula1>
          <xm:sqref>B3</xm:sqref>
        </x14:dataValidation>
        <x14:dataValidation type="list" allowBlank="1" showInputMessage="1" showErrorMessage="1" xr:uid="{3F855186-4B65-4351-A736-AC436E0795D7}">
          <x14:formula1>
            <xm:f>IPs!$A$8:$A$9</xm:f>
          </x14:formula1>
          <xm:sqref>B5</xm:sqref>
        </x14:dataValidation>
        <x14:dataValidation type="list" allowBlank="1" showInputMessage="1" showErrorMessage="1" xr:uid="{B29C7A0D-E7FD-4C69-935B-5B8E58CFA2E6}">
          <x14:formula1>
            <xm:f>IF(B5="ENTRY (TAP→DESFA)",'Type of Product'!$A$2:$A$3,'Type of Product'!$A$3)</xm:f>
          </x14:formula1>
          <xm:sqref>C5</xm:sqref>
        </x14:dataValidation>
        <x14:dataValidation type="list" allowBlank="1" showInputMessage="1" showErrorMessage="1" xr:uid="{D606779A-9212-4C39-B796-99BF03F3DE24}">
          <x14:formula1>
            <xm:f>'B-SDM_ENTRY'!$A$31:$A$37</xm:f>
          </x14:formula1>
          <xm:sqref>E4</xm:sqref>
        </x14:dataValidation>
        <x14:dataValidation type="list" allowBlank="1" showInputMessage="1" showErrorMessage="1" xr:uid="{1DC6F628-C150-49C3-9592-597A9DCDDD69}">
          <x14:formula1>
            <xm:f>'B-SDM_ENTRY'!$A$17:$A$28</xm:f>
          </x14:formula1>
          <xm:sqref>E8</xm:sqref>
        </x14:dataValidation>
        <x14:dataValidation type="list" allowBlank="1" showInputMessage="1" showErrorMessage="1" xr:uid="{00000000-0002-0000-0000-000001000000}">
          <x14:formula1>
            <xm:f>'B-SDM_ENTRY'!$A$2:$A$13</xm:f>
          </x14:formula1>
          <xm:sqref>E3 E5</xm:sqref>
        </x14:dataValidation>
        <x14:dataValidation type="list" allowBlank="1" showInputMessage="1" showErrorMessage="1" xr:uid="{9505815A-F790-4254-9898-7D10898AF3A6}">
          <x14:formula1>
            <xm:f>'B-SDM_EXIT'!$A$17:$A$28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3835-E8AD-4CD0-999A-F6B351A26F4C}">
  <sheetPr codeName="Sheet2"/>
  <dimension ref="A1:A12"/>
  <sheetViews>
    <sheetView workbookViewId="0">
      <selection activeCell="C11" sqref="C11"/>
    </sheetView>
  </sheetViews>
  <sheetFormatPr defaultRowHeight="15" x14ac:dyDescent="0.25"/>
  <cols>
    <col min="1" max="1" width="25.28515625" customWidth="1"/>
  </cols>
  <sheetData>
    <row r="1" spans="1:1" x14ac:dyDescent="0.25">
      <c r="A1" s="10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5" spans="1:1" x14ac:dyDescent="0.25">
      <c r="A5" t="s">
        <v>37</v>
      </c>
    </row>
    <row r="6" spans="1:1" x14ac:dyDescent="0.25">
      <c r="A6" t="s">
        <v>38</v>
      </c>
    </row>
    <row r="8" spans="1:1" x14ac:dyDescent="0.25">
      <c r="A8" t="s">
        <v>35</v>
      </c>
    </row>
    <row r="9" spans="1:1" x14ac:dyDescent="0.25">
      <c r="A9" t="s">
        <v>36</v>
      </c>
    </row>
    <row r="11" spans="1:1" x14ac:dyDescent="0.25">
      <c r="A11" t="s">
        <v>39</v>
      </c>
    </row>
    <row r="12" spans="1:1" x14ac:dyDescent="0.25">
      <c r="A12" t="s">
        <v>40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D47B-4508-4794-8F53-4DAE5B43A9E6}">
  <sheetPr codeName="Sheet3"/>
  <dimension ref="A1:A5"/>
  <sheetViews>
    <sheetView workbookViewId="0">
      <selection activeCell="C11" sqref="C11"/>
    </sheetView>
  </sheetViews>
  <sheetFormatPr defaultRowHeight="15" x14ac:dyDescent="0.25"/>
  <cols>
    <col min="1" max="1" width="16" customWidth="1"/>
  </cols>
  <sheetData>
    <row r="1" spans="1:1" x14ac:dyDescent="0.25">
      <c r="A1" s="9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22</v>
      </c>
    </row>
    <row r="5" spans="1:1" x14ac:dyDescent="0.25">
      <c r="A5" t="s">
        <v>30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H37"/>
  <sheetViews>
    <sheetView zoomScaleNormal="100" workbookViewId="0">
      <selection activeCell="C11" sqref="C11"/>
    </sheetView>
  </sheetViews>
  <sheetFormatPr defaultRowHeight="15" x14ac:dyDescent="0.25"/>
  <cols>
    <col min="1" max="1" width="89.42578125" customWidth="1"/>
    <col min="3" max="3" width="19.28515625" customWidth="1"/>
    <col min="4" max="4" width="14" customWidth="1"/>
    <col min="5" max="5" width="7.140625" customWidth="1"/>
    <col min="6" max="6" width="25.5703125" customWidth="1"/>
    <col min="7" max="7" width="10.5703125" customWidth="1"/>
    <col min="8" max="8" width="11.5703125" customWidth="1"/>
    <col min="9" max="9" width="12.28515625" customWidth="1"/>
    <col min="10" max="10" width="11.42578125" customWidth="1"/>
    <col min="12" max="12" width="9.42578125" customWidth="1"/>
  </cols>
  <sheetData>
    <row r="1" spans="1:8" x14ac:dyDescent="0.25">
      <c r="A1" s="1" t="s">
        <v>53</v>
      </c>
      <c r="B1" s="1" t="s">
        <v>0</v>
      </c>
      <c r="C1" s="1" t="s">
        <v>1</v>
      </c>
      <c r="D1" s="1" t="s">
        <v>9</v>
      </c>
    </row>
    <row r="2" spans="1:8" x14ac:dyDescent="0.25">
      <c r="A2" t="s">
        <v>12</v>
      </c>
      <c r="B2">
        <v>1</v>
      </c>
      <c r="C2">
        <v>2.9714</v>
      </c>
      <c r="D2">
        <v>2.9175705999999999</v>
      </c>
      <c r="E2" s="6">
        <v>365</v>
      </c>
      <c r="F2" s="2">
        <f>IF(E2&lt;18,(ROUND(3.008886*EXP(-0.003018*E2),4)),(ROUND(1.53188*EXP(-0.001168*E2),4)))</f>
        <v>1.0002</v>
      </c>
      <c r="G2" s="4"/>
      <c r="H2" s="4"/>
    </row>
    <row r="3" spans="1:8" x14ac:dyDescent="0.25">
      <c r="A3" t="s">
        <v>10</v>
      </c>
      <c r="B3">
        <v>1</v>
      </c>
      <c r="C3">
        <v>2.9714</v>
      </c>
      <c r="D3" s="5">
        <v>4.7934330000000003</v>
      </c>
      <c r="E3">
        <v>366</v>
      </c>
      <c r="F3" s="3"/>
      <c r="G3" s="4"/>
      <c r="H3" s="4"/>
    </row>
    <row r="4" spans="1:8" x14ac:dyDescent="0.25">
      <c r="A4" t="s">
        <v>13</v>
      </c>
      <c r="B4">
        <v>31</v>
      </c>
      <c r="C4">
        <v>1.4799</v>
      </c>
      <c r="D4" s="5">
        <v>4.7934330000000003</v>
      </c>
      <c r="F4" s="3"/>
      <c r="G4" s="4"/>
      <c r="H4" s="4"/>
    </row>
    <row r="5" spans="1:8" x14ac:dyDescent="0.25">
      <c r="A5" t="s">
        <v>15</v>
      </c>
      <c r="B5">
        <v>30</v>
      </c>
      <c r="C5">
        <v>1.4799</v>
      </c>
      <c r="D5" s="5">
        <v>4.7934330000000003</v>
      </c>
      <c r="G5" s="4"/>
      <c r="H5" s="4"/>
    </row>
    <row r="6" spans="1:8" x14ac:dyDescent="0.25">
      <c r="A6" t="s">
        <v>14</v>
      </c>
      <c r="B6">
        <v>31</v>
      </c>
      <c r="C6">
        <v>1.4799</v>
      </c>
      <c r="D6" s="5">
        <v>2.9175705999999999</v>
      </c>
      <c r="G6" s="4"/>
      <c r="H6" s="4"/>
    </row>
    <row r="7" spans="1:8" x14ac:dyDescent="0.25">
      <c r="A7" t="s">
        <v>16</v>
      </c>
      <c r="B7">
        <v>30</v>
      </c>
      <c r="C7">
        <v>1.4799</v>
      </c>
      <c r="D7" s="5">
        <v>2.9175705999999999</v>
      </c>
      <c r="G7" s="4"/>
      <c r="H7" s="4"/>
    </row>
    <row r="8" spans="1:8" x14ac:dyDescent="0.25">
      <c r="A8" t="s">
        <v>17</v>
      </c>
      <c r="B8">
        <v>29</v>
      </c>
      <c r="C8">
        <v>1.4799</v>
      </c>
      <c r="D8" s="5">
        <v>2.9175705999999999</v>
      </c>
      <c r="G8" s="4"/>
      <c r="H8" s="4"/>
    </row>
    <row r="9" spans="1:8" x14ac:dyDescent="0.25">
      <c r="A9" t="s">
        <v>18</v>
      </c>
      <c r="B9">
        <v>92</v>
      </c>
      <c r="C9">
        <v>1.3794999999999999</v>
      </c>
      <c r="D9" s="5">
        <v>4.7934330000000003</v>
      </c>
    </row>
    <row r="10" spans="1:8" x14ac:dyDescent="0.25">
      <c r="A10" t="s">
        <v>20</v>
      </c>
      <c r="B10">
        <v>91</v>
      </c>
      <c r="C10">
        <v>1.3794999999999999</v>
      </c>
      <c r="D10" s="5">
        <v>2.9175705999999999</v>
      </c>
      <c r="G10" s="4"/>
      <c r="H10" s="4"/>
    </row>
    <row r="11" spans="1:8" x14ac:dyDescent="0.25">
      <c r="A11" t="s">
        <v>21</v>
      </c>
      <c r="B11">
        <v>91</v>
      </c>
      <c r="C11">
        <v>1.3794999999999999</v>
      </c>
      <c r="D11" s="5">
        <v>2.9175705999999999</v>
      </c>
    </row>
    <row r="12" spans="1:8" x14ac:dyDescent="0.25">
      <c r="A12" t="s">
        <v>19</v>
      </c>
      <c r="B12">
        <v>92</v>
      </c>
      <c r="C12">
        <v>1.3794999999999999</v>
      </c>
      <c r="D12" s="5">
        <v>2.9175705999999999</v>
      </c>
    </row>
    <row r="13" spans="1:8" x14ac:dyDescent="0.25">
      <c r="A13" t="s">
        <v>11</v>
      </c>
      <c r="B13">
        <v>366</v>
      </c>
      <c r="C13">
        <v>1</v>
      </c>
      <c r="D13" s="5">
        <f>D3*(92/366)+D2*(274/366)</f>
        <v>3.3890988535519124</v>
      </c>
    </row>
    <row r="14" spans="1:8" x14ac:dyDescent="0.25">
      <c r="G14" t="s">
        <v>33</v>
      </c>
    </row>
    <row r="15" spans="1:8" x14ac:dyDescent="0.25">
      <c r="G15" t="s">
        <v>35</v>
      </c>
    </row>
    <row r="16" spans="1:8" x14ac:dyDescent="0.25">
      <c r="A16" s="1" t="s">
        <v>49</v>
      </c>
      <c r="B16" s="1" t="s">
        <v>0</v>
      </c>
      <c r="C16" s="1" t="s">
        <v>1</v>
      </c>
      <c r="D16" s="1" t="s">
        <v>9</v>
      </c>
    </row>
    <row r="17" spans="1:4" x14ac:dyDescent="0.25">
      <c r="A17" t="s">
        <v>12</v>
      </c>
      <c r="B17">
        <v>1</v>
      </c>
      <c r="C17">
        <v>2.9714</v>
      </c>
      <c r="D17">
        <v>2.9175705999999999</v>
      </c>
    </row>
    <row r="18" spans="1:4" x14ac:dyDescent="0.25">
      <c r="A18" t="s">
        <v>10</v>
      </c>
      <c r="B18">
        <v>1</v>
      </c>
      <c r="C18">
        <v>2.9714</v>
      </c>
      <c r="D18">
        <v>2.9175705999999999</v>
      </c>
    </row>
    <row r="19" spans="1:4" x14ac:dyDescent="0.25">
      <c r="A19" t="s">
        <v>13</v>
      </c>
      <c r="B19">
        <v>31</v>
      </c>
      <c r="C19">
        <v>1.4799</v>
      </c>
      <c r="D19">
        <v>2.9175705999999999</v>
      </c>
    </row>
    <row r="20" spans="1:4" x14ac:dyDescent="0.25">
      <c r="A20" t="s">
        <v>15</v>
      </c>
      <c r="B20">
        <v>30</v>
      </c>
      <c r="C20">
        <v>1.4799</v>
      </c>
      <c r="D20">
        <v>2.9175705999999999</v>
      </c>
    </row>
    <row r="21" spans="1:4" x14ac:dyDescent="0.25">
      <c r="A21" t="s">
        <v>14</v>
      </c>
      <c r="B21">
        <v>31</v>
      </c>
      <c r="C21">
        <v>1.4799</v>
      </c>
      <c r="D21">
        <v>2.9175705999999999</v>
      </c>
    </row>
    <row r="22" spans="1:4" x14ac:dyDescent="0.25">
      <c r="A22" t="s">
        <v>16</v>
      </c>
      <c r="B22">
        <v>30</v>
      </c>
      <c r="C22">
        <v>1.4799</v>
      </c>
      <c r="D22">
        <v>2.9175705999999999</v>
      </c>
    </row>
    <row r="23" spans="1:4" x14ac:dyDescent="0.25">
      <c r="A23" t="s">
        <v>17</v>
      </c>
      <c r="B23">
        <v>29</v>
      </c>
      <c r="C23">
        <v>1.4799</v>
      </c>
      <c r="D23">
        <v>2.9175705999999999</v>
      </c>
    </row>
    <row r="24" spans="1:4" x14ac:dyDescent="0.25">
      <c r="A24" t="s">
        <v>18</v>
      </c>
      <c r="B24">
        <v>92</v>
      </c>
      <c r="C24">
        <v>1.3794999999999999</v>
      </c>
      <c r="D24">
        <v>2.9175705999999999</v>
      </c>
    </row>
    <row r="25" spans="1:4" x14ac:dyDescent="0.25">
      <c r="A25" t="s">
        <v>20</v>
      </c>
      <c r="B25">
        <v>91</v>
      </c>
      <c r="C25">
        <v>1.3794999999999999</v>
      </c>
      <c r="D25">
        <v>2.9175705999999999</v>
      </c>
    </row>
    <row r="26" spans="1:4" x14ac:dyDescent="0.25">
      <c r="A26" t="s">
        <v>21</v>
      </c>
      <c r="B26">
        <v>91</v>
      </c>
      <c r="C26">
        <v>1.3794999999999999</v>
      </c>
      <c r="D26">
        <v>2.9175705999999999</v>
      </c>
    </row>
    <row r="27" spans="1:4" x14ac:dyDescent="0.25">
      <c r="A27" t="s">
        <v>19</v>
      </c>
      <c r="B27">
        <v>92</v>
      </c>
      <c r="C27">
        <v>1.3794999999999999</v>
      </c>
      <c r="D27">
        <v>2.9175705999999999</v>
      </c>
    </row>
    <row r="28" spans="1:4" x14ac:dyDescent="0.25">
      <c r="A28" t="s">
        <v>11</v>
      </c>
      <c r="B28">
        <v>366</v>
      </c>
      <c r="C28">
        <v>1</v>
      </c>
      <c r="D28">
        <v>2.9175705999999999</v>
      </c>
    </row>
    <row r="30" spans="1:4" x14ac:dyDescent="0.25">
      <c r="A30" s="1" t="s">
        <v>52</v>
      </c>
    </row>
    <row r="31" spans="1:4" x14ac:dyDescent="0.25">
      <c r="A31" t="s">
        <v>10</v>
      </c>
      <c r="B31">
        <v>1</v>
      </c>
      <c r="C31">
        <v>1.3794999999999999</v>
      </c>
      <c r="D31" s="51">
        <v>4.7934330000000003</v>
      </c>
    </row>
    <row r="32" spans="1:4" x14ac:dyDescent="0.25">
      <c r="A32" t="s">
        <v>13</v>
      </c>
      <c r="B32">
        <v>31</v>
      </c>
      <c r="C32">
        <v>1.3794999999999999</v>
      </c>
      <c r="D32" s="51">
        <v>4.7934330000000003</v>
      </c>
    </row>
    <row r="33" spans="1:4" x14ac:dyDescent="0.25">
      <c r="A33" t="s">
        <v>15</v>
      </c>
      <c r="B33">
        <v>30</v>
      </c>
      <c r="C33">
        <v>1.3794999999999999</v>
      </c>
      <c r="D33" s="51">
        <v>4.7934330000000003</v>
      </c>
    </row>
    <row r="34" spans="1:4" x14ac:dyDescent="0.25">
      <c r="A34" t="s">
        <v>12</v>
      </c>
      <c r="B34">
        <v>1</v>
      </c>
      <c r="C34">
        <v>1.3794999999999999</v>
      </c>
      <c r="D34">
        <v>2.9175705999999999</v>
      </c>
    </row>
    <row r="35" spans="1:4" x14ac:dyDescent="0.25">
      <c r="A35" t="s">
        <v>14</v>
      </c>
      <c r="B35">
        <v>31</v>
      </c>
      <c r="C35">
        <v>1.3794999999999999</v>
      </c>
      <c r="D35">
        <v>2.9175705999999999</v>
      </c>
    </row>
    <row r="36" spans="1:4" x14ac:dyDescent="0.25">
      <c r="A36" t="s">
        <v>16</v>
      </c>
      <c r="B36">
        <v>30</v>
      </c>
      <c r="C36">
        <v>1.3794999999999999</v>
      </c>
      <c r="D36">
        <v>2.9175705999999999</v>
      </c>
    </row>
    <row r="37" spans="1:4" x14ac:dyDescent="0.25">
      <c r="A37" t="s">
        <v>17</v>
      </c>
      <c r="B37">
        <v>29</v>
      </c>
      <c r="C37">
        <v>1.3794999999999999</v>
      </c>
      <c r="D37">
        <v>2.9175705999999999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21C0-D257-4CEC-856A-25E3AB1E3C5E}">
  <sheetPr codeName="Sheet5"/>
  <dimension ref="A1:I38"/>
  <sheetViews>
    <sheetView workbookViewId="0">
      <selection activeCell="C11" sqref="C11"/>
    </sheetView>
  </sheetViews>
  <sheetFormatPr defaultRowHeight="15" x14ac:dyDescent="0.25"/>
  <cols>
    <col min="1" max="1" width="89.42578125" customWidth="1"/>
    <col min="3" max="3" width="21.140625" customWidth="1"/>
    <col min="4" max="4" width="14" customWidth="1"/>
    <col min="5" max="5" width="7.140625" customWidth="1"/>
    <col min="6" max="6" width="25.5703125" customWidth="1"/>
    <col min="7" max="7" width="12.140625" customWidth="1"/>
    <col min="8" max="8" width="12.42578125" customWidth="1"/>
    <col min="9" max="9" width="10.5703125" bestFit="1" customWidth="1"/>
    <col min="10" max="10" width="10.85546875" customWidth="1"/>
  </cols>
  <sheetData>
    <row r="1" spans="1:9" x14ac:dyDescent="0.25">
      <c r="A1" s="1" t="s">
        <v>50</v>
      </c>
      <c r="B1" s="1" t="s">
        <v>0</v>
      </c>
      <c r="C1" s="1" t="s">
        <v>1</v>
      </c>
      <c r="D1" s="1" t="s">
        <v>9</v>
      </c>
    </row>
    <row r="2" spans="1:9" x14ac:dyDescent="0.25">
      <c r="A2" t="s">
        <v>12</v>
      </c>
      <c r="B2">
        <v>1</v>
      </c>
      <c r="C2">
        <v>2.9714</v>
      </c>
      <c r="D2">
        <v>5.4442043999999994</v>
      </c>
      <c r="E2" s="6">
        <v>365</v>
      </c>
      <c r="F2" s="2">
        <f>IF(E2&lt;18,(ROUND(3.008886*EXP(-0.003018*E2),4)),(ROUND(1.53188*EXP(-0.001168*E2),4)))</f>
        <v>1.0002</v>
      </c>
      <c r="H2" s="4"/>
      <c r="I2" s="4"/>
    </row>
    <row r="3" spans="1:9" x14ac:dyDescent="0.25">
      <c r="A3" t="s">
        <v>10</v>
      </c>
      <c r="B3">
        <v>1</v>
      </c>
      <c r="C3">
        <v>2.9714</v>
      </c>
      <c r="D3" s="5">
        <v>4.7934330000000003</v>
      </c>
      <c r="E3">
        <v>366</v>
      </c>
      <c r="F3" s="3"/>
      <c r="H3" s="4"/>
      <c r="I3" s="4"/>
    </row>
    <row r="4" spans="1:9" x14ac:dyDescent="0.25">
      <c r="A4" t="s">
        <v>13</v>
      </c>
      <c r="B4">
        <v>31</v>
      </c>
      <c r="C4">
        <v>1.4799</v>
      </c>
      <c r="D4" s="5">
        <v>4.7934330000000003</v>
      </c>
      <c r="F4" s="3"/>
      <c r="H4" s="4"/>
      <c r="I4" s="4"/>
    </row>
    <row r="5" spans="1:9" x14ac:dyDescent="0.25">
      <c r="A5" t="s">
        <v>15</v>
      </c>
      <c r="B5">
        <v>30</v>
      </c>
      <c r="C5">
        <v>1.4799</v>
      </c>
      <c r="D5" s="5">
        <v>4.7934330000000003</v>
      </c>
      <c r="F5" s="3"/>
      <c r="H5" s="4"/>
      <c r="I5" s="4"/>
    </row>
    <row r="6" spans="1:9" x14ac:dyDescent="0.25">
      <c r="A6" t="s">
        <v>14</v>
      </c>
      <c r="B6">
        <v>31</v>
      </c>
      <c r="C6">
        <v>1.4799</v>
      </c>
      <c r="D6" s="5">
        <v>5.4442043999999994</v>
      </c>
      <c r="F6" s="3"/>
      <c r="H6" s="4"/>
      <c r="I6" s="4"/>
    </row>
    <row r="7" spans="1:9" x14ac:dyDescent="0.25">
      <c r="A7" t="s">
        <v>16</v>
      </c>
      <c r="B7">
        <v>30</v>
      </c>
      <c r="C7">
        <v>1.4799</v>
      </c>
      <c r="D7" s="5">
        <v>5.4442043999999994</v>
      </c>
      <c r="H7" s="4"/>
      <c r="I7" s="4"/>
    </row>
    <row r="8" spans="1:9" x14ac:dyDescent="0.25">
      <c r="A8" t="s">
        <v>17</v>
      </c>
      <c r="B8">
        <v>29</v>
      </c>
      <c r="C8">
        <v>1.4799</v>
      </c>
      <c r="D8" s="5">
        <v>5.4442043999999994</v>
      </c>
      <c r="H8" s="4"/>
      <c r="I8" s="4"/>
    </row>
    <row r="9" spans="1:9" x14ac:dyDescent="0.25">
      <c r="A9" t="s">
        <v>18</v>
      </c>
      <c r="B9">
        <v>92</v>
      </c>
      <c r="C9">
        <v>1.3794999999999999</v>
      </c>
      <c r="D9" s="5">
        <v>4.7934330000000003</v>
      </c>
    </row>
    <row r="10" spans="1:9" x14ac:dyDescent="0.25">
      <c r="A10" t="s">
        <v>20</v>
      </c>
      <c r="B10">
        <v>91</v>
      </c>
      <c r="C10">
        <v>1.3794999999999999</v>
      </c>
      <c r="D10" s="5">
        <v>5.4442043999999994</v>
      </c>
      <c r="H10" s="4"/>
      <c r="I10" s="4"/>
    </row>
    <row r="11" spans="1:9" x14ac:dyDescent="0.25">
      <c r="A11" t="s">
        <v>21</v>
      </c>
      <c r="B11">
        <v>91</v>
      </c>
      <c r="C11">
        <v>1.3794999999999999</v>
      </c>
      <c r="D11" s="5">
        <v>5.4442043999999994</v>
      </c>
    </row>
    <row r="12" spans="1:9" x14ac:dyDescent="0.25">
      <c r="A12" t="s">
        <v>19</v>
      </c>
      <c r="B12">
        <v>92</v>
      </c>
      <c r="C12">
        <v>1.3794999999999999</v>
      </c>
      <c r="D12" s="5">
        <v>5.4442043999999994</v>
      </c>
    </row>
    <row r="13" spans="1:9" x14ac:dyDescent="0.25">
      <c r="A13" t="s">
        <v>11</v>
      </c>
      <c r="B13">
        <v>366</v>
      </c>
      <c r="C13">
        <v>1</v>
      </c>
      <c r="D13" s="5">
        <f>D3*(92/366)+D2*(274/366)</f>
        <v>5.2806225180327875</v>
      </c>
    </row>
    <row r="16" spans="1:9" x14ac:dyDescent="0.25">
      <c r="A16" s="1" t="s">
        <v>51</v>
      </c>
      <c r="B16" s="1" t="s">
        <v>0</v>
      </c>
      <c r="C16" s="1" t="s">
        <v>1</v>
      </c>
      <c r="D16" s="1" t="s">
        <v>9</v>
      </c>
    </row>
    <row r="17" spans="1:8" x14ac:dyDescent="0.25">
      <c r="A17" t="s">
        <v>12</v>
      </c>
      <c r="B17">
        <v>1</v>
      </c>
      <c r="C17">
        <v>2.9714</v>
      </c>
      <c r="D17">
        <v>5.4442043999999994</v>
      </c>
    </row>
    <row r="18" spans="1:8" x14ac:dyDescent="0.25">
      <c r="A18" t="s">
        <v>10</v>
      </c>
      <c r="B18">
        <v>1</v>
      </c>
      <c r="C18">
        <v>2.9714</v>
      </c>
      <c r="D18">
        <v>5.4442043999999994</v>
      </c>
    </row>
    <row r="19" spans="1:8" x14ac:dyDescent="0.25">
      <c r="A19" t="s">
        <v>13</v>
      </c>
      <c r="B19">
        <v>31</v>
      </c>
      <c r="C19">
        <v>1.4799</v>
      </c>
      <c r="D19">
        <v>5.4442043999999994</v>
      </c>
    </row>
    <row r="20" spans="1:8" x14ac:dyDescent="0.25">
      <c r="A20" t="s">
        <v>15</v>
      </c>
      <c r="B20">
        <v>30</v>
      </c>
      <c r="C20">
        <v>1.4799</v>
      </c>
      <c r="D20">
        <v>5.4442043999999994</v>
      </c>
    </row>
    <row r="21" spans="1:8" x14ac:dyDescent="0.25">
      <c r="A21" t="s">
        <v>14</v>
      </c>
      <c r="B21">
        <v>31</v>
      </c>
      <c r="C21">
        <v>1.4799</v>
      </c>
      <c r="D21">
        <v>5.4442043999999994</v>
      </c>
    </row>
    <row r="22" spans="1:8" x14ac:dyDescent="0.25">
      <c r="A22" t="s">
        <v>16</v>
      </c>
      <c r="B22">
        <v>30</v>
      </c>
      <c r="C22">
        <v>1.4799</v>
      </c>
      <c r="D22">
        <v>5.4442043999999994</v>
      </c>
    </row>
    <row r="23" spans="1:8" x14ac:dyDescent="0.25">
      <c r="A23" t="s">
        <v>17</v>
      </c>
      <c r="B23">
        <v>29</v>
      </c>
      <c r="C23">
        <v>1.4799</v>
      </c>
      <c r="D23">
        <v>5.4442043999999994</v>
      </c>
    </row>
    <row r="24" spans="1:8" x14ac:dyDescent="0.25">
      <c r="A24" t="s">
        <v>18</v>
      </c>
      <c r="B24">
        <v>92</v>
      </c>
      <c r="C24">
        <v>1.3794999999999999</v>
      </c>
      <c r="D24">
        <v>5.4442043999999994</v>
      </c>
      <c r="G24" s="4"/>
      <c r="H24" s="4"/>
    </row>
    <row r="25" spans="1:8" x14ac:dyDescent="0.25">
      <c r="A25" t="s">
        <v>20</v>
      </c>
      <c r="B25">
        <v>91</v>
      </c>
      <c r="C25">
        <v>1.3794999999999999</v>
      </c>
      <c r="D25">
        <v>5.4442043999999994</v>
      </c>
    </row>
    <row r="26" spans="1:8" x14ac:dyDescent="0.25">
      <c r="A26" t="s">
        <v>21</v>
      </c>
      <c r="B26">
        <v>91</v>
      </c>
      <c r="C26">
        <v>1.3794999999999999</v>
      </c>
      <c r="D26">
        <v>5.4442043999999994</v>
      </c>
    </row>
    <row r="27" spans="1:8" x14ac:dyDescent="0.25">
      <c r="A27" t="s">
        <v>19</v>
      </c>
      <c r="B27">
        <v>92</v>
      </c>
      <c r="C27">
        <v>1.3794999999999999</v>
      </c>
      <c r="D27">
        <v>5.4442043999999994</v>
      </c>
    </row>
    <row r="28" spans="1:8" x14ac:dyDescent="0.25">
      <c r="A28" t="s">
        <v>11</v>
      </c>
      <c r="B28">
        <v>366</v>
      </c>
      <c r="C28">
        <v>1</v>
      </c>
      <c r="D28">
        <v>5.4442043999999994</v>
      </c>
    </row>
    <row r="30" spans="1:8" x14ac:dyDescent="0.25">
      <c r="A30" s="1"/>
      <c r="B30" s="1"/>
      <c r="C30" s="1"/>
      <c r="D30" s="1"/>
    </row>
    <row r="32" spans="1:8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5" ma:contentTypeDescription="Δημιουργία νέου εγγράφου" ma:contentTypeScope="" ma:versionID="de54785296410baf8e4b84273f34c41e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99904e7ff9c11e0d5c197c0136d6c51a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E5F679-FFC9-4708-A875-25FBABDC9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727E7-F919-4F80-8B49-8635D6691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5806C-A52F-4E68-A5F7-AA2AE231DBEE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738f5970-3b6b-4745-befa-d5e656e6027a"/>
    <ds:schemaRef ds:uri="http://schemas.openxmlformats.org/package/2006/metadata/core-properties"/>
    <ds:schemaRef ds:uri="http://schemas.microsoft.com/office/2006/documentManagement/types"/>
    <ds:schemaRef ds:uri="6b171296-ac32-47c7-8b85-8384cb4f8c6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Capacity Products</vt:lpstr>
      <vt:lpstr>IPs</vt:lpstr>
      <vt:lpstr>Type of Product</vt:lpstr>
      <vt:lpstr>B-SDM_ENTRY</vt:lpstr>
      <vt:lpstr>B-SDM_EXIT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Μίζη Μαριάννα</dc:creator>
  <cp:lastModifiedBy>Ioannis Kikidis</cp:lastModifiedBy>
  <dcterms:created xsi:type="dcterms:W3CDTF">2019-12-09T09:58:15Z</dcterms:created>
  <dcterms:modified xsi:type="dcterms:W3CDTF">2023-08-07T12:19:07Z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e2555d98-6056-43bf-a484-3b5776031a7d</vt:lpwstr>
  </property>
  <property fmtid="{D5CDD505-2E9C-101B-9397-08002B2CF9AE}" pid="3" name="ContentTypeId">
    <vt:lpwstr>0x01010019B1F8822A23F54CAD78CE952611610C</vt:lpwstr>
  </property>
  <property fmtid="{D5CDD505-2E9C-101B-9397-08002B2CF9AE}" pid="4" name="CofWorkbookId">
    <vt:lpwstr>180dbaf6-7fe0-41d9-9141-060ed8a22331</vt:lpwstr>
  </property>
  <property fmtid="{D5CDD505-2E9C-101B-9397-08002B2CF9AE}" pid="5" name="MediaServiceImageTags">
    <vt:lpwstr/>
  </property>
</Properties>
</file>