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esfa.sharepoint.com/sites/ContractSection/Shared Documents/General/Auctions LNG/LNG 2024-2038/site/"/>
    </mc:Choice>
  </mc:AlternateContent>
  <xr:revisionPtr revIDLastSave="31" documentId="13_ncr:1_{8ABD6BC0-E151-4B9D-A8C2-EFBB272BD68D}" xr6:coauthVersionLast="47" xr6:coauthVersionMax="47" xr10:uidLastSave="{69480A34-954F-4DFA-86D8-0721AC548C82}"/>
  <bookViews>
    <workbookView xWindow="-120" yWindow="-120" windowWidth="29040" windowHeight="15720" activeTab="3" xr2:uid="{00000000-000D-0000-FFFF-FFFF00000000}"/>
  </bookViews>
  <sheets>
    <sheet name="Disclaimers" sheetId="7" r:id="rId1"/>
    <sheet name="Cargo List" sheetId="2" r:id="rId2"/>
    <sheet name="A Phase Guarantees" sheetId="4" r:id="rId3"/>
    <sheet name="B Phase Guarantees" sheetId="5" r:id="rId4"/>
  </sheets>
  <definedNames>
    <definedName name="_xlnm._FilterDatabase" localSheetId="1" hidden="1">'Cargo List'!$A$1:$H$7</definedName>
    <definedName name="_Hlk56089149" localSheetId="0">Disclaimers!$A$3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5" l="1"/>
  <c r="H2" i="5"/>
  <c r="H2" i="2" l="1"/>
  <c r="J4" i="2" l="1"/>
  <c r="J5" i="2"/>
  <c r="J6" i="2"/>
  <c r="J2" i="2"/>
  <c r="H3" i="2" l="1"/>
  <c r="K3" i="2" s="1"/>
  <c r="H4" i="2"/>
  <c r="K4" i="2" s="1"/>
  <c r="H5" i="2"/>
  <c r="K5" i="2" s="1"/>
  <c r="H6" i="2"/>
  <c r="K6" i="2" s="1"/>
  <c r="K2" i="2"/>
  <c r="I7" i="2" s="1"/>
  <c r="A2" i="4" l="1"/>
  <c r="B2" i="4"/>
  <c r="I9" i="2"/>
  <c r="J3" i="2"/>
  <c r="C2" i="4" l="1"/>
  <c r="B7" i="4"/>
  <c r="B8" i="4" s="1"/>
  <c r="A2" i="5" l="1"/>
  <c r="B2" i="5" l="1"/>
  <c r="B7" i="5" l="1"/>
  <c r="B8" i="5" s="1"/>
  <c r="C2" i="5"/>
</calcChain>
</file>

<file path=xl/sharedStrings.xml><?xml version="1.0" encoding="utf-8"?>
<sst xmlns="http://schemas.openxmlformats.org/spreadsheetml/2006/main" count="41" uniqueCount="37">
  <si>
    <r>
      <rPr>
        <sz val="11"/>
        <color rgb="FF000000"/>
        <rFont val="Calibri"/>
        <family val="2"/>
        <charset val="161"/>
        <scheme val="minor"/>
      </rPr>
      <t xml:space="preserve">Το </t>
    </r>
    <r>
      <rPr>
        <i/>
        <sz val="11"/>
        <color rgb="FF000000"/>
        <rFont val="Calibri"/>
        <family val="2"/>
        <charset val="161"/>
        <scheme val="minor"/>
      </rPr>
      <t>Εργαλείο Υπολογισμού Εγγύησης</t>
    </r>
    <r>
      <rPr>
        <sz val="11"/>
        <color rgb="FF000000"/>
        <rFont val="Calibri"/>
        <family val="2"/>
        <charset val="161"/>
        <scheme val="minor"/>
      </rPr>
      <t xml:space="preserve"> σε αρχείο excel. (εφεξής "Εργαλείο Υπολογισμού") αναπτύχθηκε από τον ΔΕΣΦΑ, προκειμένου να εξυπηρετήσει τους σκοπούς του κεφαλαίου 3Α του Κώδικα του Εθνικού Συστήματος Φυσικού Αερίου (ΦΕΚ  Β' 4799/2020) και του άρθρου 8 των Συμβάσεων-Πλαίσιο Μεταφοράς και ΥΦΑ του Εθνικού Συστήματος Φυσικού Αερίου (ΦΕΚ Β' 4802/2020) αναφορικά με τον υπολογισμό των Εγγυήσεων, που οφείλουν να παράσχουν οι Χρήστες Μεταφοράς και Χρήστες ΥΦΑ, οι οποίοι επιθυμούν να συμμετάσχουν στη Δημοπρασία ΥΦΑ των Ετών 2024-2038
Το “Εργαλείο Υπολογισμού” παρέχεται αποκλειστικά ως έχει στο αρχείο excel, είναι ενδεικτικό, πληροφορικού χαρακτήρα, και δεν μπορεί σε καμία περίπτωση να υποκαταστήσει τον υπολογισμό των Εγγυήσεων κατά τα οριζόμενα στον ανωτέρω Κώδικα του Εθνικού Συστήματος Φυσικού Αερίου και στο άρθρο 8 των Συμβάσεων-Πλαίσιο Μεταφοράς και ΥΦΑ του Εθνικού Συστήματος Φυσικού Αερίου, όπως εκάστοτε ισχύουν. Ο ΔΕΣΦΑ κατέβαλε κάθε δυνατή προσπάθεια για να διασφαλίσει την ακρίβεια των πληροφοριών, που περιέχονται και τους υπολογισμούς ή τα αποτελέσματα που παρέχονται ή παράγονται από τη χρήση του “Εργαλείου Υπολογισμού”, οι εν λόγω πληροφορίες και αποτελέσματα, ωστόσο, δεν δεσμεύουν το. ΔΕΣΦΑ. Προς άρση κάθε αμφιβολίας, ο ΔΕΣΦΑ δεν έχει την υποχρέωση να εφαρμόσει ή να αποδεχθεί τον υπολογισμό των Εγγυήσεων, που προκύπτει από τη χρήση του “Εργαλείου Υπολογισμού” και δεν υπέχει καμία ευθύνη, οικονομική ή άλλη, ως αποτέλεσμα της χρήσης αυτού.
All copyrights reserved.</t>
    </r>
  </si>
  <si>
    <t>This Guarantee Calculation Tool in excel. format (hereinafter the “Tool”) has been developed to serve the purposes of Chapter 3A of the National Natural Gas System Network Code (Gov.Gaz. B’ 4799/2020) and Article 8 of the National Natural Gas System Standard Transmission and LNG Agreements (Gov. Gaz. B’ 4802/2020) for the calculation of Guarantees provided by Transmission Users and LNG Users participating in the LNG Auction for the Years 2024 - 2038.
The Tool is provided “as it is” in the excel file. It is intended to be indicative, informative and it cannot in any case substitute the calculation of the Guarantees in accordance with the aforementioned NNGS Network Code and Article 8 of the National Natural Gas System Standard Transmission and LNG Agreements in force from time to time. While DESFA has made every effort to ensure the accuracy of the information contained and the calculations or results provided or generated by use of this Tool, such information and results should not be considered conclusive and binding for DESFA. For avoidance of any doubt, DESFA does not undertake the obligation to apply or accept the calculation of Guarantees generated by use of this Tool, nor does it accept any liability out of the use of this Tool whatsoever.
All copyrights reserved.</t>
  </si>
  <si>
    <t>Unloading Date</t>
  </si>
  <si>
    <t>Capacity (Kwh)</t>
  </si>
  <si>
    <t>Capacity (m3)</t>
  </si>
  <si>
    <t>Injection time (hours)</t>
  </si>
  <si>
    <t>Storage period (days)</t>
  </si>
  <si>
    <t>Regasification Capacity (kWh/day)</t>
  </si>
  <si>
    <t>Starting Price (€/1000 kWh/day)</t>
  </si>
  <si>
    <t>Reserve Price</t>
  </si>
  <si>
    <t>Offered Price [Total]</t>
  </si>
  <si>
    <t>Offered Price [Unit]</t>
  </si>
  <si>
    <t>Allocated Slots</t>
  </si>
  <si>
    <t>Please only input values in Column Ι</t>
  </si>
  <si>
    <t>If the price offered is &gt;= than the starting price, the slot will be considered allocated.</t>
  </si>
  <si>
    <t>Total Value of Allocated Slots:</t>
  </si>
  <si>
    <t>Total Guarantees Required:</t>
  </si>
  <si>
    <t>Transportation Agreement</t>
  </si>
  <si>
    <t>LNG Agreement</t>
  </si>
  <si>
    <t>Total Guarantee</t>
  </si>
  <si>
    <t>Guarantee Split Calculation:</t>
  </si>
  <si>
    <t>Desired Total Guarantee (user input):</t>
  </si>
  <si>
    <t>Transportation Guarantee</t>
  </si>
  <si>
    <t>LNG Guarantee</t>
  </si>
  <si>
    <t>This calculator indicates, for any level of total desired guarantees to be used in Phase A, the correct allocation of them between Transmisssion &amp; LNG</t>
  </si>
  <si>
    <t>Total Transportation Agreement Guarantees</t>
  </si>
  <si>
    <t>Total LNG Agreement Guarantees</t>
  </si>
  <si>
    <t>Large Price Step</t>
  </si>
  <si>
    <t>Small Price Step</t>
  </si>
  <si>
    <t>Continuous Capacity</t>
  </si>
  <si>
    <t>Tra Guarantees</t>
  </si>
  <si>
    <t>LNG Guarantees</t>
  </si>
  <si>
    <r>
      <t>SDM</t>
    </r>
    <r>
      <rPr>
        <vertAlign val="subscript"/>
        <sz val="11"/>
        <color theme="1"/>
        <rFont val="Calibri"/>
        <family val="2"/>
        <charset val="161"/>
        <scheme val="minor"/>
      </rPr>
      <t>AgTriada</t>
    </r>
  </si>
  <si>
    <t>SDY</t>
  </si>
  <si>
    <t>User Inputs</t>
  </si>
  <si>
    <t>Desired Total Guarantee (input):</t>
  </si>
  <si>
    <t>This calculator indicates, for any level of total desired guarantees to be used in Phase B, the correct allocation of them between Transmisssion &amp; LNG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</si>
</sst>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quot;;\-#,##0.00\ &quot;€&quot;"/>
    <numFmt numFmtId="44" formatCode="_-* #,##0.00\ &quot;€&quot;_-;\-* #,##0.00\ &quot;€&quot;_-;_-* &quot;-&quot;??\ &quot;€&quot;_-;_-@_-"/>
    <numFmt numFmtId="43" formatCode="_-* #,##0.00_-;\-* #,##0.00_-;_-* &quot;-&quot;??_-;_-@_-"/>
    <numFmt numFmtId="164" formatCode="_-* #,##0.00\ _€_-;\-* #,##0.00\ _€_-;_-* &quot;-&quot;??\ _€_-;_-@_-"/>
    <numFmt numFmtId="165" formatCode="d/m;@"/>
  </numFmts>
  <fonts count="10" x14ac:knownFonts="1">
    <font>
      <sz val="11"/>
      <color theme="1"/>
      <name val="Calibri"/>
      <family val="2"/>
      <scheme val="minor"/>
    </font>
    <font>
      <sz val="11"/>
      <color theme="1"/>
      <name val="Calibri"/>
      <family val="2"/>
      <charset val="161"/>
      <scheme val="minor"/>
    </font>
    <font>
      <b/>
      <sz val="11"/>
      <color theme="1"/>
      <name val="Calibri"/>
      <family val="2"/>
      <charset val="161"/>
      <scheme val="minor"/>
    </font>
    <font>
      <sz val="10"/>
      <color theme="1"/>
      <name val="Calibri"/>
      <family val="2"/>
      <charset val="161"/>
      <scheme val="minor"/>
    </font>
    <font>
      <sz val="11"/>
      <color theme="1"/>
      <name val="Calibri"/>
      <family val="2"/>
      <scheme val="minor"/>
    </font>
    <font>
      <sz val="8"/>
      <name val="Calibri"/>
      <family val="2"/>
      <scheme val="minor"/>
    </font>
    <font>
      <vertAlign val="subscript"/>
      <sz val="11"/>
      <color theme="1"/>
      <name val="Calibri"/>
      <family val="2"/>
      <charset val="161"/>
      <scheme val="minor"/>
    </font>
    <font>
      <b/>
      <sz val="12"/>
      <color theme="1"/>
      <name val="Calibri"/>
      <family val="2"/>
      <charset val="161"/>
      <scheme val="minor"/>
    </font>
    <font>
      <sz val="11"/>
      <color rgb="FF000000"/>
      <name val="Calibri"/>
      <family val="2"/>
      <charset val="161"/>
      <scheme val="minor"/>
    </font>
    <font>
      <i/>
      <sz val="11"/>
      <color rgb="FF000000"/>
      <name val="Calibri"/>
      <family val="2"/>
      <charset val="161"/>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39997558519241921"/>
        <bgColor indexed="64"/>
      </patternFill>
    </fill>
  </fills>
  <borders count="7">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44">
    <xf numFmtId="0" fontId="0" fillId="0" borderId="0" xfId="0"/>
    <xf numFmtId="0" fontId="0" fillId="0" borderId="0" xfId="0" applyAlignment="1">
      <alignment wrapText="1"/>
    </xf>
    <xf numFmtId="0" fontId="0" fillId="4" borderId="2" xfId="0" applyFill="1" applyBorder="1"/>
    <xf numFmtId="43" fontId="0" fillId="4" borderId="2" xfId="0" applyNumberFormat="1" applyFill="1" applyBorder="1"/>
    <xf numFmtId="164" fontId="0" fillId="4" borderId="2" xfId="0" applyNumberFormat="1" applyFill="1" applyBorder="1"/>
    <xf numFmtId="4" fontId="0" fillId="4" borderId="2" xfId="0" applyNumberFormat="1" applyFill="1" applyBorder="1"/>
    <xf numFmtId="43" fontId="0" fillId="4" borderId="2" xfId="2" applyFont="1" applyFill="1" applyBorder="1"/>
    <xf numFmtId="43" fontId="0" fillId="0" borderId="2" xfId="2" applyFont="1" applyBorder="1"/>
    <xf numFmtId="44" fontId="0" fillId="0" borderId="2" xfId="0" applyNumberFormat="1" applyBorder="1"/>
    <xf numFmtId="0" fontId="2" fillId="0" borderId="2" xfId="0" applyFont="1" applyBorder="1"/>
    <xf numFmtId="7" fontId="0" fillId="0" borderId="2" xfId="2" applyNumberFormat="1" applyFont="1" applyBorder="1"/>
    <xf numFmtId="0" fontId="2" fillId="2"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3" fontId="3" fillId="3" borderId="2" xfId="0" applyNumberFormat="1" applyFont="1" applyFill="1" applyBorder="1" applyAlignment="1">
      <alignment vertical="center"/>
    </xf>
    <xf numFmtId="1" fontId="3" fillId="3" borderId="2" xfId="0" applyNumberFormat="1" applyFont="1" applyFill="1" applyBorder="1" applyAlignment="1">
      <alignment vertical="center"/>
    </xf>
    <xf numFmtId="3" fontId="0" fillId="3" borderId="2" xfId="0" applyNumberFormat="1" applyFill="1" applyBorder="1" applyAlignment="1">
      <alignment wrapText="1"/>
    </xf>
    <xf numFmtId="0" fontId="0" fillId="3" borderId="2" xfId="0" applyFill="1" applyBorder="1" applyAlignment="1">
      <alignment horizontal="right" wrapText="1"/>
    </xf>
    <xf numFmtId="0" fontId="2" fillId="3"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0" fillId="6" borderId="2" xfId="0" applyFill="1" applyBorder="1" applyAlignment="1">
      <alignment horizontal="center"/>
    </xf>
    <xf numFmtId="0" fontId="2" fillId="3" borderId="2" xfId="0" applyFont="1" applyFill="1" applyBorder="1" applyAlignment="1">
      <alignment horizontal="center"/>
    </xf>
    <xf numFmtId="7" fontId="2" fillId="3" borderId="2" xfId="2" applyNumberFormat="1" applyFont="1" applyFill="1" applyBorder="1"/>
    <xf numFmtId="44" fontId="2" fillId="3" borderId="2" xfId="1" applyFont="1" applyFill="1" applyBorder="1"/>
    <xf numFmtId="0" fontId="2" fillId="3" borderId="2" xfId="0" applyFont="1" applyFill="1" applyBorder="1"/>
    <xf numFmtId="44" fontId="0" fillId="3" borderId="2" xfId="1" applyFont="1" applyFill="1" applyBorder="1"/>
    <xf numFmtId="4" fontId="2" fillId="3" borderId="2" xfId="0" applyNumberFormat="1" applyFont="1" applyFill="1" applyBorder="1"/>
    <xf numFmtId="0" fontId="0" fillId="4" borderId="2" xfId="0" applyFill="1" applyBorder="1" applyAlignment="1">
      <alignment horizontal="center"/>
    </xf>
    <xf numFmtId="7" fontId="0" fillId="4" borderId="2" xfId="0" applyNumberFormat="1" applyFill="1" applyBorder="1" applyAlignment="1">
      <alignment horizontal="center"/>
    </xf>
    <xf numFmtId="164" fontId="0" fillId="4" borderId="2" xfId="0" applyNumberFormat="1" applyFill="1" applyBorder="1" applyAlignment="1">
      <alignment horizontal="center"/>
    </xf>
    <xf numFmtId="0" fontId="0" fillId="4" borderId="1" xfId="0" applyFill="1" applyBorder="1" applyAlignment="1">
      <alignment vertical="center"/>
    </xf>
    <xf numFmtId="0" fontId="8" fillId="4" borderId="2" xfId="0" applyFont="1" applyFill="1" applyBorder="1" applyAlignment="1">
      <alignment horizontal="justify" vertical="center" wrapText="1"/>
    </xf>
    <xf numFmtId="165" fontId="3" fillId="3" borderId="2" xfId="0" applyNumberFormat="1" applyFont="1" applyFill="1" applyBorder="1" applyAlignment="1">
      <alignment horizontal="center" vertical="center"/>
    </xf>
    <xf numFmtId="0" fontId="1" fillId="4" borderId="2" xfId="0" applyFont="1" applyFill="1" applyBorder="1" applyAlignment="1">
      <alignment horizontal="justify" vertical="center" wrapText="1"/>
    </xf>
    <xf numFmtId="0" fontId="1" fillId="4" borderId="2" xfId="0" applyFont="1" applyFill="1" applyBorder="1"/>
    <xf numFmtId="10" fontId="0" fillId="0" borderId="0" xfId="3" applyNumberFormat="1" applyFont="1"/>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 xfId="0" applyFont="1" applyFill="1" applyBorder="1" applyAlignment="1">
      <alignment horizontal="center"/>
    </xf>
    <xf numFmtId="0" fontId="2" fillId="6" borderId="6" xfId="0" applyFont="1" applyFill="1" applyBorder="1" applyAlignment="1">
      <alignment horizontal="center" vertical="center" wrapText="1"/>
    </xf>
    <xf numFmtId="0" fontId="2" fillId="6"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7" fillId="3" borderId="2" xfId="0" applyFont="1" applyFill="1" applyBorder="1" applyAlignment="1">
      <alignment horizontal="center" vertical="center" wrapText="1"/>
    </xf>
  </cellXfs>
  <cellStyles count="4">
    <cellStyle name="Comma" xfId="2" builtinId="3"/>
    <cellStyle name="Currency" xfId="1" builtinId="4"/>
    <cellStyle name="Normal" xfId="0" builtinId="0"/>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989C3-A3B6-4E3F-85BC-499A1979F885}">
  <dimension ref="A1:A3"/>
  <sheetViews>
    <sheetView showGridLines="0" workbookViewId="0">
      <selection activeCell="G3" sqref="G3"/>
    </sheetView>
  </sheetViews>
  <sheetFormatPr defaultRowHeight="15" x14ac:dyDescent="0.25"/>
  <cols>
    <col min="1" max="1" width="119.28515625" customWidth="1"/>
  </cols>
  <sheetData>
    <row r="1" spans="1:1" ht="240" x14ac:dyDescent="0.25">
      <c r="A1" s="30" t="s">
        <v>0</v>
      </c>
    </row>
    <row r="3" spans="1:1" ht="210" x14ac:dyDescent="0.25">
      <c r="A3" s="32" t="s">
        <v>1</v>
      </c>
    </row>
  </sheetData>
  <pageMargins left="0.7" right="0.7" top="0.75" bottom="0.75" header="0.3" footer="0.3"/>
  <pageSetup paperSize="9" orientation="portrait" verticalDpi="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8"/>
  <sheetViews>
    <sheetView showGridLines="0" workbookViewId="0">
      <selection activeCell="G16" sqref="G16"/>
    </sheetView>
  </sheetViews>
  <sheetFormatPr defaultRowHeight="15" x14ac:dyDescent="0.25"/>
  <cols>
    <col min="1" max="1" width="15.7109375" style="1" bestFit="1" customWidth="1"/>
    <col min="2" max="2" width="17.7109375" style="1" bestFit="1" customWidth="1"/>
    <col min="3" max="3" width="16" style="1" bestFit="1" customWidth="1"/>
    <col min="4" max="4" width="13.5703125" style="1" bestFit="1" customWidth="1"/>
    <col min="5" max="5" width="14.140625" style="1" bestFit="1" customWidth="1"/>
    <col min="6" max="6" width="18.5703125" style="1" customWidth="1"/>
    <col min="7" max="7" width="18.5703125" style="1" bestFit="1" customWidth="1"/>
    <col min="8" max="8" width="16.85546875" bestFit="1" customWidth="1"/>
    <col min="9" max="9" width="14.28515625" bestFit="1" customWidth="1"/>
    <col min="10" max="10" width="13.28515625" bestFit="1" customWidth="1"/>
  </cols>
  <sheetData>
    <row r="1" spans="1:16" ht="45" x14ac:dyDescent="0.25">
      <c r="A1" s="11" t="s">
        <v>2</v>
      </c>
      <c r="B1" s="11" t="s">
        <v>3</v>
      </c>
      <c r="C1" s="11" t="s">
        <v>4</v>
      </c>
      <c r="D1" s="11" t="s">
        <v>5</v>
      </c>
      <c r="E1" s="11" t="s">
        <v>6</v>
      </c>
      <c r="F1" s="11" t="s">
        <v>7</v>
      </c>
      <c r="G1" s="11" t="s">
        <v>8</v>
      </c>
      <c r="H1" s="11" t="s">
        <v>9</v>
      </c>
      <c r="I1" s="17" t="s">
        <v>10</v>
      </c>
      <c r="J1" s="12" t="s">
        <v>11</v>
      </c>
      <c r="K1" s="18" t="s">
        <v>12</v>
      </c>
      <c r="N1" s="35" t="s">
        <v>13</v>
      </c>
      <c r="O1" s="36"/>
      <c r="P1" s="37"/>
    </row>
    <row r="2" spans="1:16" x14ac:dyDescent="0.25">
      <c r="A2" s="31">
        <v>45323</v>
      </c>
      <c r="B2" s="13">
        <v>500000000</v>
      </c>
      <c r="C2" s="13">
        <v>73855</v>
      </c>
      <c r="D2" s="14">
        <v>18</v>
      </c>
      <c r="E2" s="14">
        <v>13</v>
      </c>
      <c r="F2" s="15">
        <v>36242604</v>
      </c>
      <c r="G2" s="16">
        <v>14.2461</v>
      </c>
      <c r="H2" s="6">
        <f>G2*F2/1000</f>
        <v>516315.76084439998</v>
      </c>
      <c r="I2" s="10">
        <v>560000</v>
      </c>
      <c r="J2" s="7">
        <f t="shared" ref="J2:J6" si="0">1000*I2/F2</f>
        <v>15.451428379704726</v>
      </c>
      <c r="K2" s="19">
        <f>IF(I2&gt;=H2,1,0)</f>
        <v>1</v>
      </c>
    </row>
    <row r="3" spans="1:16" ht="15" customHeight="1" x14ac:dyDescent="0.25">
      <c r="A3" s="31">
        <v>45424</v>
      </c>
      <c r="B3" s="13">
        <v>500000000</v>
      </c>
      <c r="C3" s="13">
        <v>73855</v>
      </c>
      <c r="D3" s="14">
        <v>18</v>
      </c>
      <c r="E3" s="14">
        <v>18</v>
      </c>
      <c r="F3" s="15">
        <v>26620370</v>
      </c>
      <c r="G3" s="16">
        <v>15.698</v>
      </c>
      <c r="H3" s="6">
        <f t="shared" ref="H3:H6" si="1">G3*F3/1000</f>
        <v>417886.56825999997</v>
      </c>
      <c r="I3" s="10">
        <v>1100000</v>
      </c>
      <c r="J3" s="7">
        <f t="shared" si="0"/>
        <v>41.321739705345941</v>
      </c>
      <c r="K3" s="19">
        <f t="shared" ref="K3:K6" si="2">IF(I3&gt;=H3,1,0)</f>
        <v>1</v>
      </c>
      <c r="N3" s="39" t="s">
        <v>14</v>
      </c>
      <c r="O3" s="39"/>
      <c r="P3" s="39"/>
    </row>
    <row r="4" spans="1:16" x14ac:dyDescent="0.25">
      <c r="A4" s="31">
        <v>45542</v>
      </c>
      <c r="B4" s="13">
        <v>1000000000</v>
      </c>
      <c r="C4" s="13">
        <v>147710</v>
      </c>
      <c r="D4" s="14">
        <v>36</v>
      </c>
      <c r="E4" s="14">
        <v>18</v>
      </c>
      <c r="F4" s="15">
        <v>50925926</v>
      </c>
      <c r="G4" s="16">
        <v>15.698</v>
      </c>
      <c r="H4" s="6">
        <f t="shared" si="1"/>
        <v>799435.18634800008</v>
      </c>
      <c r="I4" s="10"/>
      <c r="J4" s="7">
        <f t="shared" si="0"/>
        <v>0</v>
      </c>
      <c r="K4" s="19">
        <f t="shared" si="2"/>
        <v>0</v>
      </c>
      <c r="N4" s="40"/>
      <c r="O4" s="40"/>
      <c r="P4" s="40"/>
    </row>
    <row r="5" spans="1:16" x14ac:dyDescent="0.25">
      <c r="A5" s="31">
        <v>45576</v>
      </c>
      <c r="B5" s="13">
        <v>500000000</v>
      </c>
      <c r="C5" s="13">
        <v>73855</v>
      </c>
      <c r="D5" s="14">
        <v>18</v>
      </c>
      <c r="E5" s="14">
        <v>18</v>
      </c>
      <c r="F5" s="15">
        <v>26620370</v>
      </c>
      <c r="G5" s="16">
        <v>15.698</v>
      </c>
      <c r="H5" s="6">
        <f t="shared" si="1"/>
        <v>417886.56825999997</v>
      </c>
      <c r="I5" s="10"/>
      <c r="J5" s="7">
        <f t="shared" si="0"/>
        <v>0</v>
      </c>
      <c r="K5" s="19">
        <f t="shared" si="2"/>
        <v>0</v>
      </c>
      <c r="N5" s="40"/>
      <c r="O5" s="40"/>
      <c r="P5" s="40"/>
    </row>
    <row r="6" spans="1:16" x14ac:dyDescent="0.25">
      <c r="A6" s="31">
        <v>45653</v>
      </c>
      <c r="B6" s="13">
        <v>1000000000</v>
      </c>
      <c r="C6" s="13">
        <v>147710</v>
      </c>
      <c r="D6" s="14">
        <v>36</v>
      </c>
      <c r="E6" s="14">
        <v>13</v>
      </c>
      <c r="F6" s="15">
        <v>68047337</v>
      </c>
      <c r="G6" s="16">
        <v>14.2461</v>
      </c>
      <c r="H6" s="6">
        <f t="shared" si="1"/>
        <v>969409.16763569997</v>
      </c>
      <c r="I6" s="10"/>
      <c r="J6" s="7">
        <f t="shared" si="0"/>
        <v>0</v>
      </c>
      <c r="K6" s="19">
        <f t="shared" si="2"/>
        <v>0</v>
      </c>
      <c r="N6" s="40"/>
      <c r="O6" s="40"/>
      <c r="P6" s="40"/>
    </row>
    <row r="7" spans="1:16" x14ac:dyDescent="0.25">
      <c r="A7"/>
      <c r="B7"/>
      <c r="C7"/>
      <c r="D7"/>
      <c r="E7"/>
      <c r="F7"/>
      <c r="G7" s="38" t="s">
        <v>15</v>
      </c>
      <c r="H7" s="38"/>
      <c r="I7" s="21">
        <f>SUMIF(K2:K6,1,I2:I6)</f>
        <v>1660000</v>
      </c>
    </row>
    <row r="8" spans="1:16" x14ac:dyDescent="0.25">
      <c r="A8"/>
      <c r="B8"/>
      <c r="C8"/>
      <c r="D8"/>
      <c r="E8"/>
      <c r="F8"/>
      <c r="G8"/>
    </row>
    <row r="9" spans="1:16" x14ac:dyDescent="0.25">
      <c r="A9"/>
      <c r="B9"/>
      <c r="C9"/>
      <c r="D9"/>
      <c r="E9"/>
      <c r="F9"/>
      <c r="G9" s="38" t="s">
        <v>16</v>
      </c>
      <c r="H9" s="38"/>
      <c r="I9" s="21">
        <f>I7*0.33</f>
        <v>547800</v>
      </c>
    </row>
    <row r="10" spans="1:16" x14ac:dyDescent="0.25">
      <c r="A10"/>
      <c r="B10"/>
      <c r="C10"/>
      <c r="D10"/>
      <c r="E10"/>
      <c r="F10"/>
      <c r="G10"/>
    </row>
    <row r="11" spans="1:16" x14ac:dyDescent="0.25">
      <c r="A11"/>
      <c r="B11"/>
      <c r="C11"/>
      <c r="D11"/>
      <c r="E11"/>
      <c r="F11"/>
      <c r="G11"/>
    </row>
    <row r="12" spans="1:16" x14ac:dyDescent="0.25">
      <c r="A12"/>
      <c r="B12"/>
      <c r="C12"/>
      <c r="D12"/>
      <c r="E12"/>
      <c r="F12"/>
      <c r="G12"/>
    </row>
    <row r="13" spans="1:16" x14ac:dyDescent="0.25">
      <c r="A13"/>
      <c r="B13"/>
      <c r="C13"/>
      <c r="D13"/>
      <c r="E13"/>
      <c r="F13"/>
      <c r="G13"/>
    </row>
    <row r="14" spans="1:16" x14ac:dyDescent="0.25">
      <c r="A14"/>
      <c r="B14"/>
      <c r="C14"/>
      <c r="D14"/>
      <c r="E14"/>
      <c r="F14"/>
      <c r="G14"/>
    </row>
    <row r="15" spans="1:16" x14ac:dyDescent="0.25">
      <c r="A15"/>
      <c r="B15"/>
      <c r="C15"/>
      <c r="D15"/>
      <c r="E15"/>
      <c r="F15"/>
      <c r="G15"/>
    </row>
    <row r="16" spans="1:16" x14ac:dyDescent="0.25">
      <c r="A16"/>
      <c r="B16"/>
      <c r="C16"/>
      <c r="D16"/>
      <c r="E16"/>
      <c r="F16"/>
      <c r="G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sheetData>
  <autoFilter ref="A1:H7" xr:uid="{00000000-0001-0000-0000-000000000000}"/>
  <mergeCells count="4">
    <mergeCell ref="N1:P1"/>
    <mergeCell ref="G7:H7"/>
    <mergeCell ref="G9:H9"/>
    <mergeCell ref="N3:P6"/>
  </mergeCells>
  <phoneticPr fontId="5" type="noConversion"/>
  <conditionalFormatting sqref="I2:I6">
    <cfRule type="cellIs" dxfId="1" priority="4" operator="lessThan">
      <formula>H2</formula>
    </cfRule>
  </conditionalFormatting>
  <conditionalFormatting sqref="J2:J6">
    <cfRule type="cellIs" dxfId="0" priority="2" operator="lessThan">
      <formula>G2</formula>
    </cfRule>
  </conditionalFormatting>
  <pageMargins left="0.7" right="0.7" top="0.75" bottom="0.75" header="0.3" footer="0.3"/>
  <pageSetup orientation="portrait" r:id="rId1"/>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
  <sheetViews>
    <sheetView showGridLines="0" workbookViewId="0">
      <selection activeCell="D11" sqref="D11"/>
    </sheetView>
  </sheetViews>
  <sheetFormatPr defaultRowHeight="15" x14ac:dyDescent="0.25"/>
  <cols>
    <col min="1" max="2" width="35.140625" customWidth="1"/>
    <col min="3" max="3" width="17.140625" customWidth="1"/>
  </cols>
  <sheetData>
    <row r="1" spans="1:3" x14ac:dyDescent="0.25">
      <c r="A1" s="26" t="s">
        <v>17</v>
      </c>
      <c r="B1" s="26" t="s">
        <v>18</v>
      </c>
      <c r="C1" s="26" t="s">
        <v>19</v>
      </c>
    </row>
    <row r="2" spans="1:3" x14ac:dyDescent="0.25">
      <c r="A2" s="27">
        <f>'Cargo List'!I7*(2.9175706) / (2.9175706+1.9239538)*0.33</f>
        <v>330111.97355114023</v>
      </c>
      <c r="B2" s="27">
        <f>'Cargo List'!I7*(1.9239538) / (2.9175706+1.9239538)*0.33</f>
        <v>217688.0264488598</v>
      </c>
      <c r="C2" s="28">
        <f>B2+A2</f>
        <v>547800</v>
      </c>
    </row>
    <row r="4" spans="1:3" x14ac:dyDescent="0.25">
      <c r="A4" t="s">
        <v>20</v>
      </c>
    </row>
    <row r="6" spans="1:3" x14ac:dyDescent="0.25">
      <c r="A6" s="23" t="s">
        <v>21</v>
      </c>
      <c r="B6" s="24">
        <v>3000000</v>
      </c>
    </row>
    <row r="7" spans="1:3" x14ac:dyDescent="0.25">
      <c r="A7" s="9" t="s">
        <v>22</v>
      </c>
      <c r="B7" s="8">
        <f>ROUND(B6/(B2/A2+1),2)</f>
        <v>1807842.13</v>
      </c>
      <c r="C7" s="34"/>
    </row>
    <row r="8" spans="1:3" x14ac:dyDescent="0.25">
      <c r="A8" s="9" t="s">
        <v>23</v>
      </c>
      <c r="B8" s="8">
        <f>B6-B7</f>
        <v>1192157.8700000001</v>
      </c>
    </row>
    <row r="10" spans="1:3" x14ac:dyDescent="0.25">
      <c r="A10" s="41" t="s">
        <v>24</v>
      </c>
      <c r="B10" s="41"/>
    </row>
    <row r="11" spans="1:3" x14ac:dyDescent="0.25">
      <c r="A11" s="41"/>
      <c r="B11" s="41"/>
    </row>
    <row r="12" spans="1:3" x14ac:dyDescent="0.25">
      <c r="A12" s="41"/>
      <c r="B12" s="41"/>
    </row>
    <row r="13" spans="1:3" x14ac:dyDescent="0.25">
      <c r="A13" s="41"/>
      <c r="B13" s="41"/>
    </row>
  </sheetData>
  <mergeCells count="1">
    <mergeCell ref="A10:B13"/>
  </mergeCells>
  <pageMargins left="0.7" right="0.7" top="0.75" bottom="0.75" header="0.3" footer="0.3"/>
  <pageSetup paperSize="9" orientation="portrait" verticalDpi="0"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showGridLines="0" tabSelected="1" workbookViewId="0">
      <selection activeCell="I6" sqref="I6"/>
    </sheetView>
  </sheetViews>
  <sheetFormatPr defaultRowHeight="15" x14ac:dyDescent="0.25"/>
  <cols>
    <col min="1" max="1" width="40.85546875" bestFit="1" customWidth="1"/>
    <col min="2" max="2" width="35.140625" customWidth="1"/>
    <col min="3" max="3" width="15.28515625" bestFit="1" customWidth="1"/>
    <col min="5" max="5" width="15.140625" bestFit="1" customWidth="1"/>
    <col min="6" max="6" width="15.28515625" bestFit="1" customWidth="1"/>
    <col min="7" max="7" width="19.28515625" bestFit="1" customWidth="1"/>
    <col min="8" max="8" width="16.140625" customWidth="1"/>
    <col min="9" max="9" width="17.42578125" customWidth="1"/>
    <col min="10" max="10" width="11.42578125" customWidth="1"/>
    <col min="11" max="11" width="10.5703125" customWidth="1"/>
  </cols>
  <sheetData>
    <row r="1" spans="1:11" ht="18" x14ac:dyDescent="0.35">
      <c r="A1" s="2" t="s">
        <v>25</v>
      </c>
      <c r="B1" s="2" t="s">
        <v>26</v>
      </c>
      <c r="C1" s="2" t="s">
        <v>19</v>
      </c>
      <c r="E1" s="23" t="s">
        <v>27</v>
      </c>
      <c r="F1" s="23" t="s">
        <v>28</v>
      </c>
      <c r="G1" s="20" t="s">
        <v>29</v>
      </c>
      <c r="H1" s="29" t="s">
        <v>30</v>
      </c>
      <c r="I1" s="29" t="s">
        <v>31</v>
      </c>
      <c r="J1" s="2" t="s">
        <v>32</v>
      </c>
      <c r="K1" s="2" t="s">
        <v>33</v>
      </c>
    </row>
    <row r="2" spans="1:11" x14ac:dyDescent="0.25">
      <c r="A2" s="3">
        <f>SUM(H2:H365)</f>
        <v>972523.53333333344</v>
      </c>
      <c r="B2" s="3">
        <f>SUM(I2:I365)</f>
        <v>961976.89999999991</v>
      </c>
      <c r="C2" s="4">
        <f>B2+A2</f>
        <v>1934500.4333333333</v>
      </c>
      <c r="E2" s="20">
        <v>0</v>
      </c>
      <c r="F2" s="20">
        <v>0</v>
      </c>
      <c r="G2" s="25">
        <v>40000000</v>
      </c>
      <c r="H2" s="5">
        <f>G2*J$2/24*0.2*(1+E$2*0.2+F$2*0.04)</f>
        <v>972523.53333333344</v>
      </c>
      <c r="I2" s="5">
        <f>G2*K$2/24*0.3*(1+E$2*0.2+F$2*0.04)</f>
        <v>961976.89999999991</v>
      </c>
      <c r="J2" s="33">
        <v>2.9175705999999999</v>
      </c>
      <c r="K2" s="2">
        <v>1.9239538</v>
      </c>
    </row>
    <row r="4" spans="1:11" x14ac:dyDescent="0.25">
      <c r="A4" t="s">
        <v>20</v>
      </c>
      <c r="E4" s="42" t="s">
        <v>34</v>
      </c>
      <c r="F4" s="42"/>
    </row>
    <row r="5" spans="1:11" x14ac:dyDescent="0.25">
      <c r="E5" s="42"/>
      <c r="F5" s="42"/>
    </row>
    <row r="6" spans="1:11" x14ac:dyDescent="0.25">
      <c r="A6" s="9" t="s">
        <v>35</v>
      </c>
      <c r="B6" s="22">
        <v>3000000</v>
      </c>
      <c r="E6" s="42"/>
      <c r="F6" s="42"/>
    </row>
    <row r="7" spans="1:11" x14ac:dyDescent="0.25">
      <c r="A7" s="9" t="s">
        <v>22</v>
      </c>
      <c r="B7" s="8">
        <f>ROUND(B6/(B2/A2+1),2)</f>
        <v>1508177.8</v>
      </c>
      <c r="E7" s="42"/>
      <c r="F7" s="42"/>
    </row>
    <row r="8" spans="1:11" x14ac:dyDescent="0.25">
      <c r="A8" s="9" t="s">
        <v>23</v>
      </c>
      <c r="B8" s="8">
        <f>B6-B7</f>
        <v>1491822.2</v>
      </c>
    </row>
    <row r="10" spans="1:11" x14ac:dyDescent="0.25">
      <c r="A10" s="43" t="s">
        <v>36</v>
      </c>
      <c r="B10" s="43"/>
    </row>
    <row r="11" spans="1:11" x14ac:dyDescent="0.25">
      <c r="A11" s="43"/>
      <c r="B11" s="43"/>
    </row>
    <row r="12" spans="1:11" x14ac:dyDescent="0.25">
      <c r="A12" s="43"/>
      <c r="B12" s="43"/>
    </row>
    <row r="13" spans="1:11" x14ac:dyDescent="0.25">
      <c r="A13" s="43"/>
      <c r="B13" s="43"/>
    </row>
  </sheetData>
  <mergeCells count="2">
    <mergeCell ref="E4:F7"/>
    <mergeCell ref="A10:B13"/>
  </mergeCells>
  <pageMargins left="0.7" right="0.7" top="0.75" bottom="0.75" header="0.3" footer="0.3"/>
  <pageSetup paperSize="9" orientation="portrait" verticalDpi="0" r:id="rId1"/>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171296-ac32-47c7-8b85-8384cb4f8c64">
      <UserInfo>
        <DisplayName>Nikos Botis</DisplayName>
        <AccountId>27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Έγγραφο" ma:contentTypeID="0x01010019B1F8822A23F54CAD78CE952611610C" ma:contentTypeVersion="11" ma:contentTypeDescription="Δημιουργία νέου εγγράφου" ma:contentTypeScope="" ma:versionID="30859f8906a39d4ba9aa2d5a8118ebd9">
  <xsd:schema xmlns:xsd="http://www.w3.org/2001/XMLSchema" xmlns:xs="http://www.w3.org/2001/XMLSchema" xmlns:p="http://schemas.microsoft.com/office/2006/metadata/properties" xmlns:ns2="738f5970-3b6b-4745-befa-d5e656e6027a" xmlns:ns3="6b171296-ac32-47c7-8b85-8384cb4f8c64" targetNamespace="http://schemas.microsoft.com/office/2006/metadata/properties" ma:root="true" ma:fieldsID="0f7f71d25fd5e5a9b1466d67f326d69d" ns2:_="" ns3:_="">
    <xsd:import namespace="738f5970-3b6b-4745-befa-d5e656e6027a"/>
    <xsd:import namespace="6b171296-ac32-47c7-8b85-8384cb4f8c6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8f5970-3b6b-4745-befa-d5e656e602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171296-ac32-47c7-8b85-8384cb4f8c64" elementFormDefault="qualified">
    <xsd:import namespace="http://schemas.microsoft.com/office/2006/documentManagement/types"/>
    <xsd:import namespace="http://schemas.microsoft.com/office/infopath/2007/PartnerControls"/>
    <xsd:element name="SharedWithUsers" ma:index="10"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Κοινή χρήση με λεπτομέρειες"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0B49C6-0BE5-497A-9C9C-7A75AF9C2394}">
  <ds:schemaRefs>
    <ds:schemaRef ds:uri="http://schemas.microsoft.com/office/2006/documentManagement/types"/>
    <ds:schemaRef ds:uri="http://www.w3.org/XML/1998/namespace"/>
    <ds:schemaRef ds:uri="http://purl.org/dc/elements/1.1/"/>
    <ds:schemaRef ds:uri="http://schemas.microsoft.com/office/2006/metadata/properties"/>
    <ds:schemaRef ds:uri="738f5970-3b6b-4745-befa-d5e656e6027a"/>
    <ds:schemaRef ds:uri="http://schemas.microsoft.com/office/infopath/2007/PartnerControls"/>
    <ds:schemaRef ds:uri="6b171296-ac32-47c7-8b85-8384cb4f8c64"/>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1CC64025-667A-4EFA-A2AA-A6C8B6EF4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8f5970-3b6b-4745-befa-d5e656e6027a"/>
    <ds:schemaRef ds:uri="6b171296-ac32-47c7-8b85-8384cb4f8c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9D8B74-3B58-466E-AB07-403461AEC5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Disclaimers</vt:lpstr>
      <vt:lpstr>Cargo List</vt:lpstr>
      <vt:lpstr>A Phase Guarantees</vt:lpstr>
      <vt:lpstr>B Phase Guarantees</vt:lpstr>
      <vt:lpstr>Disclaimers!_Hlk56089149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Vasileiou, Christos</dc:creator>
  <cp:keywords/>
  <dc:description/>
  <cp:lastModifiedBy>Nikos Botis</cp:lastModifiedBy>
  <cp:revision/>
  <dcterms:created xsi:type="dcterms:W3CDTF">2020-10-09T13:03:00Z</dcterms:created>
  <dcterms:modified xsi:type="dcterms:W3CDTF">2023-10-05T09:27:34Z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314a3293-f4fd-44a7-ad4f-5dcea9acad08</vt:lpwstr>
  </property>
  <property fmtid="{D5CDD505-2E9C-101B-9397-08002B2CF9AE}" pid="3" name="ContentTypeId">
    <vt:lpwstr>0x01010019B1F8822A23F54CAD78CE952611610C</vt:lpwstr>
  </property>
</Properties>
</file>